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Sellest_töövihikust"/>
  <bookViews>
    <workbookView xWindow="-36" yWindow="60" windowWidth="19320" windowHeight="12240" tabRatio="916" firstSheet="1" activeTab="11"/>
  </bookViews>
  <sheets>
    <sheet name="1. OST-MÜÜK" sheetId="2" r:id="rId1"/>
    <sheet name="2. Kasumiaruanne" sheetId="39" r:id="rId2"/>
    <sheet name="3. Üldiseloomustus" sheetId="4" r:id="rId3"/>
    <sheet name="4. Investeeringud" sheetId="34" r:id="rId4"/>
    <sheet name="5. Põhivara" sheetId="12" r:id="rId5"/>
    <sheet name="6. Keskkonnatasud" sheetId="7" r:id="rId6"/>
    <sheet name="7. Elekter" sheetId="35" r:id="rId7"/>
    <sheet name="8. Kemikaalid" sheetId="14" r:id="rId8"/>
    <sheet name="9. Palgakulud" sheetId="15" r:id="rId9"/>
    <sheet name="10. Teenuste hinnad" sheetId="13" r:id="rId10"/>
    <sheet name="Hinnavahe" sheetId="36" r:id="rId11"/>
    <sheet name="TAOTLUS" sheetId="9" r:id="rId12"/>
  </sheets>
  <definedNames>
    <definedName name="_xlnm.Print_Titles" localSheetId="2">'3. Üldiseloomustus'!$A:$C,'3. Üldiseloomustus'!$2:$3</definedName>
    <definedName name="Põlevkiviõli">#REF!</definedName>
    <definedName name="Z_2DAF91AD_ADBA_4D7F_A05E_C1061079573C_.wvu.PrintTitles" localSheetId="2" hidden="1">'3. Üldiseloomustus'!$A:$C,'3. Üldiseloomustus'!$2:$3</definedName>
    <definedName name="Z_2DAF91AD_ADBA_4D7F_A05E_C1061079573C_.wvu.Rows" localSheetId="2" hidden="1">'3. Üldiseloomustus'!$119:$134</definedName>
    <definedName name="Z_6C236B63_681D_4F29_AD2F_15CCCBE175D6_.wvu.PrintTitles" localSheetId="2" hidden="1">'3. Üldiseloomustus'!$A:$C,'3. Üldiseloomustus'!$2:$3</definedName>
    <definedName name="Z_6C236B63_681D_4F29_AD2F_15CCCBE175D6_.wvu.Rows" localSheetId="2" hidden="1">'3. Üldiseloomustus'!$119:$134</definedName>
    <definedName name="Z_9D39536F_7A22_4529_9C64_FD3A1A808A75_.wvu.PrintTitles" localSheetId="2" hidden="1">'3. Üldiseloomustus'!$A:$C,'3. Üldiseloomustus'!$2:$3</definedName>
    <definedName name="Z_9D39536F_7A22_4529_9C64_FD3A1A808A75_.wvu.Rows" localSheetId="2" hidden="1">'3. Üldiseloomustus'!$119:$134</definedName>
  </definedNames>
  <calcPr calcId="125725"/>
  <customWorkbookViews>
    <customWorkbookView name="Kadri Kaljaste - Eravaade" guid="{9D39536F-7A22-4529-9C64-FD3A1A808A75}" mergeInterval="0" personalView="1" maximized="1" windowWidth="1676" windowHeight="825" tabRatio="881" activeSheetId="4"/>
    <customWorkbookView name="Windowsi kasutaja - Eravaade" guid="{6C236B63-681D-4F29-AD2F-15CCCBE175D6}" mergeInterval="0" personalView="1" maximized="1" windowWidth="1916" windowHeight="835" tabRatio="881" activeSheetId="9"/>
    <customWorkbookView name="Vivika - Eravaade" guid="{2DAF91AD-ADBA-4D7F-A05E-C1061079573C}" mergeInterval="0" personalView="1" maximized="1" windowWidth="1276" windowHeight="799" tabRatio="881" activeSheetId="1"/>
  </customWorkbookViews>
</workbook>
</file>

<file path=xl/calcChain.xml><?xml version="1.0" encoding="utf-8"?>
<calcChain xmlns="http://schemas.openxmlformats.org/spreadsheetml/2006/main">
  <c r="C139" i="34"/>
  <c r="C138" s="1"/>
  <c r="D139"/>
  <c r="E139"/>
  <c r="E138" s="1"/>
  <c r="F139"/>
  <c r="G139"/>
  <c r="G138" s="1"/>
  <c r="H139"/>
  <c r="H148" s="1"/>
  <c r="I139"/>
  <c r="I138" s="1"/>
  <c r="C140"/>
  <c r="D140"/>
  <c r="E140"/>
  <c r="F140"/>
  <c r="G140"/>
  <c r="H140"/>
  <c r="H138" s="1"/>
  <c r="I140"/>
  <c r="I149" s="1"/>
  <c r="C142"/>
  <c r="D142"/>
  <c r="D141" s="1"/>
  <c r="E142"/>
  <c r="F142"/>
  <c r="G142"/>
  <c r="H142"/>
  <c r="H141" s="1"/>
  <c r="I142"/>
  <c r="C143"/>
  <c r="D143"/>
  <c r="E143"/>
  <c r="F143"/>
  <c r="G143"/>
  <c r="H143"/>
  <c r="I143"/>
  <c r="C144"/>
  <c r="D144"/>
  <c r="E144"/>
  <c r="F144"/>
  <c r="G144"/>
  <c r="H144"/>
  <c r="I144"/>
  <c r="D148"/>
  <c r="E148"/>
  <c r="I148"/>
  <c r="E149"/>
  <c r="F149"/>
  <c r="C155"/>
  <c r="C156" s="1"/>
  <c r="D155"/>
  <c r="E155"/>
  <c r="F155"/>
  <c r="F156" s="1"/>
  <c r="G155"/>
  <c r="H155"/>
  <c r="H156" s="1"/>
  <c r="I155"/>
  <c r="D156"/>
  <c r="E156"/>
  <c r="CD16" i="12"/>
  <c r="CA16"/>
  <c r="BR15"/>
  <c r="BO15" s="1"/>
  <c r="BO16" s="1"/>
  <c r="BR16"/>
  <c r="N65" i="34"/>
  <c r="O65" s="1"/>
  <c r="N66"/>
  <c r="O66" s="1"/>
  <c r="N67"/>
  <c r="O67" s="1"/>
  <c r="N68"/>
  <c r="O68" s="1"/>
  <c r="N69"/>
  <c r="O69" s="1"/>
  <c r="N70"/>
  <c r="O70" s="1"/>
  <c r="N71"/>
  <c r="N72"/>
  <c r="O72" s="1"/>
  <c r="N73"/>
  <c r="O73" s="1"/>
  <c r="N74"/>
  <c r="N75"/>
  <c r="O75" s="1"/>
  <c r="I84"/>
  <c r="I83"/>
  <c r="I82"/>
  <c r="I81"/>
  <c r="I80"/>
  <c r="I79"/>
  <c r="I78"/>
  <c r="I77"/>
  <c r="I76"/>
  <c r="I74"/>
  <c r="I71"/>
  <c r="O71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I44"/>
  <c r="I43"/>
  <c r="I42"/>
  <c r="I41"/>
  <c r="I40"/>
  <c r="I39"/>
  <c r="I34"/>
  <c r="H24"/>
  <c r="K24"/>
  <c r="V66" i="39"/>
  <c r="T66"/>
  <c r="I141" i="34" l="1"/>
  <c r="E141"/>
  <c r="E147" s="1"/>
  <c r="G147"/>
  <c r="G141"/>
  <c r="C141"/>
  <c r="C147" s="1"/>
  <c r="F141"/>
  <c r="G149"/>
  <c r="C149"/>
  <c r="F138"/>
  <c r="H147"/>
  <c r="D149"/>
  <c r="D138"/>
  <c r="D147" s="1"/>
  <c r="F147"/>
  <c r="I147"/>
  <c r="F148"/>
  <c r="H149"/>
  <c r="G148"/>
  <c r="C148"/>
  <c r="O74"/>
  <c r="L24"/>
  <c r="K9" i="2"/>
  <c r="P9"/>
  <c r="U9"/>
  <c r="Z9"/>
  <c r="Z12"/>
  <c r="U12"/>
  <c r="P12"/>
  <c r="K12"/>
  <c r="F12"/>
  <c r="F9"/>
  <c r="AC19" i="15"/>
  <c r="AC9"/>
  <c r="W19"/>
  <c r="W9"/>
  <c r="E79" i="4" l="1"/>
  <c r="F79"/>
  <c r="G79"/>
  <c r="H79"/>
  <c r="D79"/>
  <c r="D81"/>
  <c r="BC20" i="12" l="1"/>
  <c r="R61" i="39"/>
  <c r="P61"/>
  <c r="P56"/>
  <c r="R53"/>
  <c r="P53"/>
  <c r="P49"/>
  <c r="P46"/>
  <c r="P45"/>
  <c r="R49"/>
  <c r="P36"/>
  <c r="F108" i="34" l="1"/>
  <c r="F51" s="1"/>
  <c r="CB20" i="12"/>
  <c r="CB19"/>
  <c r="CA19"/>
  <c r="BP20"/>
  <c r="BP19"/>
  <c r="BO19"/>
  <c r="BD20"/>
  <c r="BD19"/>
  <c r="BC19"/>
  <c r="AU44"/>
  <c r="AT44" s="1"/>
  <c r="AU43"/>
  <c r="AT43" s="1"/>
  <c r="AR44"/>
  <c r="AQ44" s="1"/>
  <c r="AU40"/>
  <c r="AT40" s="1"/>
  <c r="AU39"/>
  <c r="AR39" s="1"/>
  <c r="AQ39" s="1"/>
  <c r="AR40"/>
  <c r="AQ40" s="1"/>
  <c r="AR20"/>
  <c r="AQ20"/>
  <c r="AR19"/>
  <c r="AQ19"/>
  <c r="AU16"/>
  <c r="AT16" s="1"/>
  <c r="AU15"/>
  <c r="AT15" s="1"/>
  <c r="AF20"/>
  <c r="AE20"/>
  <c r="AF19"/>
  <c r="AE19"/>
  <c r="W16"/>
  <c r="V16"/>
  <c r="W15"/>
  <c r="V15"/>
  <c r="T20"/>
  <c r="S20"/>
  <c r="T19"/>
  <c r="S19"/>
  <c r="H20"/>
  <c r="G20"/>
  <c r="H19"/>
  <c r="G19"/>
  <c r="H12"/>
  <c r="G12" s="1"/>
  <c r="G10" s="1"/>
  <c r="H11"/>
  <c r="G11" s="1"/>
  <c r="H8"/>
  <c r="G8"/>
  <c r="H7"/>
  <c r="G7"/>
  <c r="G6"/>
  <c r="E12"/>
  <c r="D12" s="1"/>
  <c r="E8"/>
  <c r="D8" s="1"/>
  <c r="F52" i="34" l="1"/>
  <c r="AR43" i="12"/>
  <c r="AQ43" s="1"/>
  <c r="AT39"/>
  <c r="E81" i="4" l="1"/>
  <c r="F81"/>
  <c r="E206" i="14" s="1"/>
  <c r="G81" i="4"/>
  <c r="H81"/>
  <c r="G206" i="14" s="1"/>
  <c r="C206"/>
  <c r="D206"/>
  <c r="F206"/>
  <c r="V38" i="39"/>
  <c r="R38"/>
  <c r="N38"/>
  <c r="D74" i="4" l="1"/>
  <c r="E74"/>
  <c r="F74"/>
  <c r="G74"/>
  <c r="H74"/>
  <c r="H78"/>
  <c r="G78"/>
  <c r="F78"/>
  <c r="E78"/>
  <c r="D78"/>
  <c r="BB60" i="35" l="1"/>
  <c r="AZ60"/>
  <c r="BB61"/>
  <c r="AZ61"/>
  <c r="BB59"/>
  <c r="AZ59"/>
  <c r="BB58"/>
  <c r="AZ58"/>
  <c r="G60"/>
  <c r="G59"/>
  <c r="G58"/>
  <c r="H61" l="1"/>
  <c r="BF61" s="1"/>
  <c r="H60"/>
  <c r="BF60" s="1"/>
  <c r="H59"/>
  <c r="BF59" s="1"/>
  <c r="H58"/>
  <c r="BF58" s="1"/>
  <c r="BN61" l="1"/>
  <c r="BM60"/>
  <c r="BM59"/>
  <c r="BM58"/>
  <c r="BB105"/>
  <c r="AZ105"/>
  <c r="AG61"/>
  <c r="AG60"/>
  <c r="AG59"/>
  <c r="AG58"/>
  <c r="Z61"/>
  <c r="Z60"/>
  <c r="Z59"/>
  <c r="Z58"/>
  <c r="S61"/>
  <c r="S60"/>
  <c r="S59"/>
  <c r="S58"/>
  <c r="L58"/>
  <c r="L59"/>
  <c r="L60"/>
  <c r="L61"/>
  <c r="AD107"/>
  <c r="W107"/>
  <c r="W1189" i="7"/>
  <c r="W887"/>
  <c r="W588"/>
  <c r="W293"/>
  <c r="W6"/>
  <c r="O138" l="1"/>
  <c r="M138" s="1"/>
  <c r="H138"/>
  <c r="O137"/>
  <c r="M137" s="1"/>
  <c r="H137"/>
  <c r="O136"/>
  <c r="M136" s="1"/>
  <c r="H136"/>
  <c r="O135"/>
  <c r="M135" s="1"/>
  <c r="H135"/>
  <c r="O98"/>
  <c r="M98" s="1"/>
  <c r="H98"/>
  <c r="O97"/>
  <c r="M97" s="1"/>
  <c r="H97"/>
  <c r="O96"/>
  <c r="M96" s="1"/>
  <c r="H96"/>
  <c r="O95"/>
  <c r="M95" s="1"/>
  <c r="H95"/>
  <c r="P1242"/>
  <c r="O1242"/>
  <c r="P940"/>
  <c r="O940"/>
  <c r="N940"/>
  <c r="H940"/>
  <c r="P641"/>
  <c r="O641"/>
  <c r="N641"/>
  <c r="H641"/>
  <c r="U590" s="1"/>
  <c r="P346"/>
  <c r="O346"/>
  <c r="N346"/>
  <c r="H346"/>
  <c r="U295" s="1"/>
  <c r="O57"/>
  <c r="M57" s="1"/>
  <c r="H57"/>
  <c r="O56"/>
  <c r="M56" s="1"/>
  <c r="H56"/>
  <c r="O55"/>
  <c r="M55" s="1"/>
  <c r="H55"/>
  <c r="O54"/>
  <c r="M54" s="1"/>
  <c r="H54"/>
  <c r="O53"/>
  <c r="M53" s="1"/>
  <c r="H53"/>
  <c r="O16"/>
  <c r="M16" s="1"/>
  <c r="H16"/>
  <c r="O15"/>
  <c r="M15" s="1"/>
  <c r="H15"/>
  <c r="O14"/>
  <c r="M14" s="1"/>
  <c r="H14"/>
  <c r="O13"/>
  <c r="M13" s="1"/>
  <c r="H13"/>
  <c r="O425"/>
  <c r="M425" s="1"/>
  <c r="H425"/>
  <c r="O424"/>
  <c r="M424" s="1"/>
  <c r="H424"/>
  <c r="O423"/>
  <c r="M423" s="1"/>
  <c r="H423"/>
  <c r="O422"/>
  <c r="M422" s="1"/>
  <c r="H422"/>
  <c r="O385"/>
  <c r="M385" s="1"/>
  <c r="H385"/>
  <c r="O384"/>
  <c r="M384" s="1"/>
  <c r="H384"/>
  <c r="O383"/>
  <c r="M383" s="1"/>
  <c r="H383"/>
  <c r="O382"/>
  <c r="M382" s="1"/>
  <c r="H382"/>
  <c r="P349"/>
  <c r="O349"/>
  <c r="N349"/>
  <c r="P348"/>
  <c r="O348"/>
  <c r="N348"/>
  <c r="H348"/>
  <c r="P347"/>
  <c r="O347"/>
  <c r="N347"/>
  <c r="P345"/>
  <c r="O345"/>
  <c r="N345"/>
  <c r="H345"/>
  <c r="O344"/>
  <c r="M344" s="1"/>
  <c r="H344"/>
  <c r="O343"/>
  <c r="M343" s="1"/>
  <c r="H343"/>
  <c r="O342"/>
  <c r="M342" s="1"/>
  <c r="H342"/>
  <c r="O341"/>
  <c r="M341" s="1"/>
  <c r="H341"/>
  <c r="O340"/>
  <c r="M340" s="1"/>
  <c r="H340"/>
  <c r="O303"/>
  <c r="M303" s="1"/>
  <c r="H303"/>
  <c r="O302"/>
  <c r="M302" s="1"/>
  <c r="H302"/>
  <c r="O301"/>
  <c r="M301" s="1"/>
  <c r="H301"/>
  <c r="O300"/>
  <c r="M300" s="1"/>
  <c r="H300"/>
  <c r="O720"/>
  <c r="M720" s="1"/>
  <c r="H720"/>
  <c r="O719"/>
  <c r="M719" s="1"/>
  <c r="H719"/>
  <c r="O718"/>
  <c r="M718" s="1"/>
  <c r="H718"/>
  <c r="O717"/>
  <c r="M717" s="1"/>
  <c r="H717"/>
  <c r="O680"/>
  <c r="M680" s="1"/>
  <c r="H680"/>
  <c r="O679"/>
  <c r="M679" s="1"/>
  <c r="H679"/>
  <c r="O678"/>
  <c r="M678" s="1"/>
  <c r="H678"/>
  <c r="O677"/>
  <c r="M677" s="1"/>
  <c r="H677"/>
  <c r="O639"/>
  <c r="M639" s="1"/>
  <c r="H639"/>
  <c r="O638"/>
  <c r="M638" s="1"/>
  <c r="H638"/>
  <c r="O637"/>
  <c r="M637" s="1"/>
  <c r="H637"/>
  <c r="O636"/>
  <c r="M636" s="1"/>
  <c r="H636"/>
  <c r="O635"/>
  <c r="M635" s="1"/>
  <c r="H635"/>
  <c r="O598"/>
  <c r="M598" s="1"/>
  <c r="H598"/>
  <c r="O597"/>
  <c r="M597" s="1"/>
  <c r="H597"/>
  <c r="P107" i="35"/>
  <c r="BB87"/>
  <c r="AZ87"/>
  <c r="BB101"/>
  <c r="AZ101"/>
  <c r="BB100"/>
  <c r="AZ100"/>
  <c r="U889" i="7" l="1"/>
  <c r="I1242"/>
  <c r="M346"/>
  <c r="M940"/>
  <c r="M641"/>
  <c r="M349"/>
  <c r="M345"/>
  <c r="M347"/>
  <c r="M348"/>
  <c r="H347"/>
  <c r="H349"/>
  <c r="L101" i="35"/>
  <c r="L100"/>
  <c r="L105"/>
  <c r="S101"/>
  <c r="S100"/>
  <c r="S105"/>
  <c r="Z101"/>
  <c r="Z100"/>
  <c r="Z105"/>
  <c r="AG101"/>
  <c r="AG100"/>
  <c r="AG105"/>
  <c r="AN105"/>
  <c r="BL105" s="1"/>
  <c r="BM105" s="1"/>
  <c r="BM101"/>
  <c r="BM100"/>
  <c r="BN105"/>
  <c r="AB1191" i="7" l="1"/>
  <c r="AM39" i="35" l="1"/>
  <c r="AL39"/>
  <c r="AM18"/>
  <c r="AL18"/>
  <c r="O884" i="7" l="1"/>
  <c r="N884"/>
  <c r="O752"/>
  <c r="N752"/>
  <c r="O585"/>
  <c r="N585"/>
  <c r="O457"/>
  <c r="N457"/>
  <c r="O290"/>
  <c r="N290"/>
  <c r="O170"/>
  <c r="N170"/>
  <c r="H102" i="4"/>
  <c r="G102"/>
  <c r="F102"/>
  <c r="E102"/>
  <c r="D102"/>
  <c r="G99"/>
  <c r="F99"/>
  <c r="E99"/>
  <c r="D99"/>
  <c r="G60"/>
  <c r="F60"/>
  <c r="E60"/>
  <c r="D60"/>
  <c r="G59"/>
  <c r="F59"/>
  <c r="D59"/>
  <c r="G7"/>
  <c r="D7"/>
  <c r="L101" i="39"/>
  <c r="F104" i="4"/>
  <c r="E104"/>
  <c r="D104"/>
  <c r="N1242" i="7" l="1"/>
  <c r="M1242" s="1"/>
  <c r="H1242"/>
  <c r="U1191" s="1"/>
  <c r="V84" i="39"/>
  <c r="T84"/>
  <c r="V81"/>
  <c r="T81"/>
  <c r="V80"/>
  <c r="T80"/>
  <c r="V111"/>
  <c r="T111"/>
  <c r="V94"/>
  <c r="R94"/>
  <c r="P94" s="1"/>
  <c r="V76"/>
  <c r="T76"/>
  <c r="V75"/>
  <c r="T75"/>
  <c r="V74"/>
  <c r="T74"/>
  <c r="V73"/>
  <c r="T73"/>
  <c r="T72"/>
  <c r="T71"/>
  <c r="T68"/>
  <c r="V65"/>
  <c r="T65"/>
  <c r="V64"/>
  <c r="V63"/>
  <c r="T63"/>
  <c r="V62"/>
  <c r="T62"/>
  <c r="V61"/>
  <c r="T61"/>
  <c r="V60"/>
  <c r="T60" s="1"/>
  <c r="V54"/>
  <c r="T54"/>
  <c r="V51"/>
  <c r="V50"/>
  <c r="T46"/>
  <c r="V15"/>
  <c r="L72"/>
  <c r="L71"/>
  <c r="L69"/>
  <c r="L48"/>
  <c r="L46"/>
  <c r="O1321" i="7" l="1"/>
  <c r="M1321" s="1"/>
  <c r="O1320"/>
  <c r="M1320" s="1"/>
  <c r="O1281"/>
  <c r="M1281" s="1"/>
  <c r="O1280"/>
  <c r="M1280" s="1"/>
  <c r="O1240"/>
  <c r="M1240" s="1"/>
  <c r="O1239"/>
  <c r="M1239" s="1"/>
  <c r="O1199"/>
  <c r="M1199" s="1"/>
  <c r="O1198"/>
  <c r="M1198" s="1"/>
  <c r="O1019"/>
  <c r="M1019" s="1"/>
  <c r="H1019"/>
  <c r="O1018"/>
  <c r="M1018" s="1"/>
  <c r="H1018"/>
  <c r="O897"/>
  <c r="M897" s="1"/>
  <c r="H897"/>
  <c r="I1199" s="1"/>
  <c r="H1199" s="1"/>
  <c r="O896"/>
  <c r="M896" s="1"/>
  <c r="H896"/>
  <c r="I1198" s="1"/>
  <c r="H1198" s="1"/>
  <c r="O938"/>
  <c r="M938" s="1"/>
  <c r="H938"/>
  <c r="I1240" s="1"/>
  <c r="H1240" s="1"/>
  <c r="O937"/>
  <c r="M937" s="1"/>
  <c r="H937"/>
  <c r="I1239" s="1"/>
  <c r="H1239" s="1"/>
  <c r="O979"/>
  <c r="M979" s="1"/>
  <c r="O978"/>
  <c r="M978" s="1"/>
  <c r="H979"/>
  <c r="H978"/>
  <c r="P1054" l="1"/>
  <c r="O1054"/>
  <c r="N1054"/>
  <c r="H1054"/>
  <c r="P1087"/>
  <c r="O1087"/>
  <c r="N1087"/>
  <c r="H1087"/>
  <c r="P1120"/>
  <c r="O1120"/>
  <c r="N1120"/>
  <c r="H1120"/>
  <c r="N1154"/>
  <c r="O1154"/>
  <c r="P1153"/>
  <c r="O1153"/>
  <c r="N1153"/>
  <c r="H1153"/>
  <c r="P1356"/>
  <c r="O1356"/>
  <c r="P1389"/>
  <c r="O1389"/>
  <c r="P1422"/>
  <c r="O1422"/>
  <c r="P1455"/>
  <c r="O1455"/>
  <c r="M1153" l="1"/>
  <c r="M1087"/>
  <c r="M1054"/>
  <c r="M1120"/>
  <c r="P1351" l="1"/>
  <c r="O1351"/>
  <c r="P1350"/>
  <c r="O1350"/>
  <c r="P1349"/>
  <c r="O1349"/>
  <c r="P1348"/>
  <c r="O1348"/>
  <c r="P1347"/>
  <c r="O1347"/>
  <c r="P1346"/>
  <c r="O1346"/>
  <c r="P1345"/>
  <c r="O1345"/>
  <c r="P1344"/>
  <c r="O1344"/>
  <c r="P1343"/>
  <c r="O1343"/>
  <c r="P1342"/>
  <c r="O1342"/>
  <c r="P1341"/>
  <c r="O1341"/>
  <c r="P1340"/>
  <c r="O1340"/>
  <c r="P1339"/>
  <c r="O1339"/>
  <c r="P1338"/>
  <c r="O1338"/>
  <c r="P1337"/>
  <c r="O1337"/>
  <c r="P1336"/>
  <c r="O1336"/>
  <c r="P1335"/>
  <c r="O1335"/>
  <c r="P1334"/>
  <c r="O1334"/>
  <c r="P1333"/>
  <c r="O1333"/>
  <c r="P1332"/>
  <c r="O1332"/>
  <c r="P1331"/>
  <c r="O1331"/>
  <c r="P1330"/>
  <c r="O1330"/>
  <c r="P1329"/>
  <c r="O1329"/>
  <c r="P1328"/>
  <c r="O1328"/>
  <c r="P1327"/>
  <c r="O1327"/>
  <c r="P1326"/>
  <c r="O1326"/>
  <c r="P1325"/>
  <c r="O1325"/>
  <c r="P1324"/>
  <c r="O1324"/>
  <c r="P1323"/>
  <c r="O1323"/>
  <c r="P1322"/>
  <c r="O1322"/>
  <c r="O1319"/>
  <c r="M1319" s="1"/>
  <c r="O1318"/>
  <c r="M1318" s="1"/>
  <c r="P1317"/>
  <c r="O1317"/>
  <c r="P1316"/>
  <c r="O1316"/>
  <c r="P1315"/>
  <c r="O1315"/>
  <c r="P1314"/>
  <c r="O1314"/>
  <c r="P1313"/>
  <c r="O1313"/>
  <c r="P1312"/>
  <c r="O1312"/>
  <c r="P1311"/>
  <c r="O1311"/>
  <c r="P1310"/>
  <c r="O1310"/>
  <c r="P1309"/>
  <c r="O1309"/>
  <c r="P1308"/>
  <c r="O1308"/>
  <c r="P1307"/>
  <c r="O1307"/>
  <c r="P1306"/>
  <c r="O1306"/>
  <c r="P1305"/>
  <c r="O1305"/>
  <c r="P1304"/>
  <c r="O1304"/>
  <c r="P1303"/>
  <c r="O1303"/>
  <c r="P1302"/>
  <c r="O1302"/>
  <c r="P1301"/>
  <c r="O1301"/>
  <c r="P1300"/>
  <c r="O1300"/>
  <c r="P1299"/>
  <c r="O1299"/>
  <c r="P1298"/>
  <c r="O1298"/>
  <c r="P1297"/>
  <c r="O1297"/>
  <c r="P1296"/>
  <c r="O1296"/>
  <c r="P1295"/>
  <c r="O1295"/>
  <c r="P1294"/>
  <c r="O1294"/>
  <c r="P1293"/>
  <c r="O1293"/>
  <c r="P1292"/>
  <c r="O1292"/>
  <c r="P1291"/>
  <c r="O1291"/>
  <c r="P1290"/>
  <c r="O1290"/>
  <c r="P1289"/>
  <c r="O1289"/>
  <c r="P1288"/>
  <c r="O1288"/>
  <c r="P1287"/>
  <c r="O1287"/>
  <c r="P1286"/>
  <c r="O1286"/>
  <c r="P1285"/>
  <c r="O1285"/>
  <c r="P1284"/>
  <c r="O1284"/>
  <c r="P1283"/>
  <c r="O1283"/>
  <c r="P1282"/>
  <c r="O1282"/>
  <c r="O1279"/>
  <c r="M1279" s="1"/>
  <c r="O1278"/>
  <c r="M1278" s="1"/>
  <c r="P1277"/>
  <c r="O1277"/>
  <c r="P1276"/>
  <c r="O1276"/>
  <c r="P1275"/>
  <c r="O1275"/>
  <c r="P1274"/>
  <c r="O1274"/>
  <c r="P1273"/>
  <c r="O1273"/>
  <c r="P1272"/>
  <c r="O1272"/>
  <c r="P1271"/>
  <c r="O1271"/>
  <c r="P1270"/>
  <c r="O1270"/>
  <c r="P1269"/>
  <c r="O1269"/>
  <c r="P1268"/>
  <c r="O1268"/>
  <c r="P1267"/>
  <c r="O1267"/>
  <c r="P1266"/>
  <c r="O1266"/>
  <c r="P1265"/>
  <c r="O1265"/>
  <c r="P1264"/>
  <c r="O1264"/>
  <c r="P1263"/>
  <c r="O1263"/>
  <c r="P1262"/>
  <c r="O1262"/>
  <c r="P1261"/>
  <c r="O1261"/>
  <c r="P1260"/>
  <c r="O1260"/>
  <c r="P1259"/>
  <c r="O1259"/>
  <c r="P1258"/>
  <c r="O1258"/>
  <c r="P1257"/>
  <c r="O1257"/>
  <c r="P1256"/>
  <c r="O1256"/>
  <c r="P1255"/>
  <c r="O1255"/>
  <c r="P1254"/>
  <c r="O1254"/>
  <c r="P1253"/>
  <c r="O1253"/>
  <c r="P1252"/>
  <c r="O1252"/>
  <c r="P1251"/>
  <c r="O1251"/>
  <c r="P1250"/>
  <c r="O1250"/>
  <c r="P1249"/>
  <c r="O1249"/>
  <c r="P1248"/>
  <c r="O1248"/>
  <c r="P1247"/>
  <c r="O1247"/>
  <c r="P1246"/>
  <c r="O1246"/>
  <c r="P1245"/>
  <c r="O1245"/>
  <c r="P1244"/>
  <c r="O1244"/>
  <c r="P1243"/>
  <c r="O1243"/>
  <c r="P1241"/>
  <c r="O1241"/>
  <c r="O1238"/>
  <c r="M1238" s="1"/>
  <c r="O1237"/>
  <c r="M1237" s="1"/>
  <c r="O1236"/>
  <c r="M1236" s="1"/>
  <c r="P1235"/>
  <c r="O1235"/>
  <c r="P1234"/>
  <c r="O1234"/>
  <c r="P1233"/>
  <c r="O1233"/>
  <c r="P1232"/>
  <c r="O1232"/>
  <c r="P1231"/>
  <c r="O1231"/>
  <c r="P1230"/>
  <c r="O1230"/>
  <c r="P1229"/>
  <c r="O1229"/>
  <c r="P1228"/>
  <c r="O1228"/>
  <c r="P1227"/>
  <c r="O1227"/>
  <c r="P1226"/>
  <c r="O1226"/>
  <c r="P1225"/>
  <c r="O1225"/>
  <c r="P1224"/>
  <c r="O1224"/>
  <c r="P1223"/>
  <c r="O1223"/>
  <c r="P1222"/>
  <c r="O1222"/>
  <c r="P1221"/>
  <c r="O1221"/>
  <c r="P1220"/>
  <c r="O1220"/>
  <c r="P1219"/>
  <c r="O1219"/>
  <c r="P1218"/>
  <c r="O1218"/>
  <c r="P1217"/>
  <c r="O1217"/>
  <c r="P1216"/>
  <c r="O1216"/>
  <c r="P1215"/>
  <c r="O1215"/>
  <c r="P1214"/>
  <c r="O1214"/>
  <c r="P1213"/>
  <c r="O1213"/>
  <c r="P1212"/>
  <c r="O1212"/>
  <c r="P1211"/>
  <c r="O1211"/>
  <c r="P1210"/>
  <c r="O1210"/>
  <c r="P1209"/>
  <c r="O1209"/>
  <c r="P1208"/>
  <c r="O1208"/>
  <c r="P1207"/>
  <c r="O1207"/>
  <c r="P1206"/>
  <c r="O1206"/>
  <c r="P1205"/>
  <c r="O1205"/>
  <c r="P1204"/>
  <c r="O1204"/>
  <c r="P1203"/>
  <c r="O1203"/>
  <c r="P1202"/>
  <c r="O1202"/>
  <c r="P1201"/>
  <c r="O1201"/>
  <c r="P1200"/>
  <c r="O1200"/>
  <c r="O1197"/>
  <c r="M1197" s="1"/>
  <c r="O1196"/>
  <c r="M1196" s="1"/>
  <c r="P1195"/>
  <c r="O1195"/>
  <c r="P1194"/>
  <c r="O1194"/>
  <c r="P1193"/>
  <c r="O1193"/>
  <c r="P1192"/>
  <c r="O1192"/>
  <c r="P1191"/>
  <c r="O1191"/>
  <c r="P1190"/>
  <c r="O1190"/>
  <c r="BC14" i="12" l="1"/>
  <c r="AQ14"/>
  <c r="AQ16" s="1"/>
  <c r="AE14"/>
  <c r="S14"/>
  <c r="H82" i="39"/>
  <c r="H63"/>
  <c r="T58"/>
  <c r="T57"/>
  <c r="T56"/>
  <c r="T55"/>
  <c r="T53"/>
  <c r="M49"/>
  <c r="L49"/>
  <c r="M46"/>
  <c r="I49"/>
  <c r="H49" s="1"/>
  <c r="I46"/>
  <c r="H46" s="1"/>
  <c r="E49"/>
  <c r="D49"/>
  <c r="E46"/>
  <c r="D46" s="1"/>
  <c r="BC16" i="12" l="1"/>
  <c r="AE16"/>
  <c r="S16"/>
  <c r="BB67" i="35" l="1"/>
  <c r="AZ67"/>
  <c r="BB103"/>
  <c r="AZ103"/>
  <c r="BB102"/>
  <c r="AZ102"/>
  <c r="BB97"/>
  <c r="AZ97"/>
  <c r="BB96"/>
  <c r="AZ96"/>
  <c r="BB95"/>
  <c r="AZ95"/>
  <c r="BB94"/>
  <c r="AZ94"/>
  <c r="BB92"/>
  <c r="AZ92"/>
  <c r="BB91"/>
  <c r="AZ91"/>
  <c r="BB86"/>
  <c r="AZ86"/>
  <c r="BB85"/>
  <c r="AZ85"/>
  <c r="BB77"/>
  <c r="AZ77"/>
  <c r="BB75"/>
  <c r="AZ75"/>
  <c r="BB74"/>
  <c r="AZ74"/>
  <c r="BB71"/>
  <c r="AZ71"/>
  <c r="BB65"/>
  <c r="AZ65"/>
  <c r="BB68"/>
  <c r="AZ68"/>
  <c r="BB104"/>
  <c r="AZ104"/>
  <c r="BB99"/>
  <c r="AZ99"/>
  <c r="BB98"/>
  <c r="AZ98"/>
  <c r="BB93"/>
  <c r="AZ93"/>
  <c r="BB90"/>
  <c r="AZ90"/>
  <c r="BB89"/>
  <c r="AZ89"/>
  <c r="BB88"/>
  <c r="AZ88"/>
  <c r="BB84"/>
  <c r="AZ84"/>
  <c r="BB83"/>
  <c r="AZ83"/>
  <c r="BB82"/>
  <c r="AZ82"/>
  <c r="BB81"/>
  <c r="AZ81"/>
  <c r="BB80"/>
  <c r="AZ80"/>
  <c r="BB79"/>
  <c r="AZ79"/>
  <c r="BB78"/>
  <c r="AZ78"/>
  <c r="BB76"/>
  <c r="AZ76"/>
  <c r="BB73"/>
  <c r="AZ73"/>
  <c r="BB72"/>
  <c r="AZ72"/>
  <c r="BB70"/>
  <c r="AZ70"/>
  <c r="BB69"/>
  <c r="AZ69"/>
  <c r="BB66"/>
  <c r="AZ66"/>
  <c r="BE107" l="1"/>
  <c r="BF54" l="1"/>
  <c r="BB54"/>
  <c r="AZ54"/>
  <c r="BF53"/>
  <c r="BB53"/>
  <c r="AZ53"/>
  <c r="BF44"/>
  <c r="BB44"/>
  <c r="AZ44"/>
  <c r="BF41"/>
  <c r="BB41"/>
  <c r="AZ41"/>
  <c r="BF39"/>
  <c r="BB39"/>
  <c r="AZ39"/>
  <c r="BF36"/>
  <c r="BB36"/>
  <c r="AZ36"/>
  <c r="BF35"/>
  <c r="BB35"/>
  <c r="AZ35"/>
  <c r="BF30"/>
  <c r="BB30"/>
  <c r="AZ30"/>
  <c r="BF23"/>
  <c r="BB23"/>
  <c r="AZ23"/>
  <c r="BF18"/>
  <c r="BB18"/>
  <c r="AZ18"/>
  <c r="BF13"/>
  <c r="BB13"/>
  <c r="AZ13"/>
  <c r="BF12"/>
  <c r="BB12"/>
  <c r="AZ12"/>
  <c r="BF9"/>
  <c r="BB9"/>
  <c r="AZ9"/>
  <c r="N84" i="34" l="1"/>
  <c r="O84" s="1"/>
  <c r="N83"/>
  <c r="N44"/>
  <c r="O44" s="1"/>
  <c r="O83" l="1"/>
  <c r="F107" i="4"/>
  <c r="E107"/>
  <c r="D107"/>
  <c r="O935" i="7" l="1"/>
  <c r="M935" s="1"/>
  <c r="H935"/>
  <c r="AE19" i="15" l="1"/>
  <c r="AE18"/>
  <c r="AC18"/>
  <c r="AA19"/>
  <c r="AA18"/>
  <c r="AA17"/>
  <c r="AE14"/>
  <c r="AC14"/>
  <c r="AE13"/>
  <c r="AC13"/>
  <c r="AC12"/>
  <c r="AA14"/>
  <c r="AA13"/>
  <c r="AA12"/>
  <c r="AE9"/>
  <c r="AE8"/>
  <c r="AC8"/>
  <c r="AC7"/>
  <c r="AA9"/>
  <c r="AA8"/>
  <c r="AA7"/>
  <c r="G179" i="14"/>
  <c r="G178"/>
  <c r="G177"/>
  <c r="G176"/>
  <c r="G171"/>
  <c r="G170"/>
  <c r="G159"/>
  <c r="G158"/>
  <c r="G127"/>
  <c r="G126"/>
  <c r="G109"/>
  <c r="G108"/>
  <c r="G103"/>
  <c r="G102"/>
  <c r="G99"/>
  <c r="G98"/>
  <c r="G95"/>
  <c r="G94"/>
  <c r="G87"/>
  <c r="G86"/>
  <c r="G35"/>
  <c r="G34"/>
  <c r="G29"/>
  <c r="G28"/>
  <c r="G23"/>
  <c r="G22"/>
  <c r="G17"/>
  <c r="G16"/>
  <c r="G11"/>
  <c r="G10"/>
  <c r="G5"/>
  <c r="G4"/>
  <c r="H109" i="4"/>
  <c r="H108"/>
  <c r="H93"/>
  <c r="H92"/>
  <c r="H91"/>
  <c r="H90"/>
  <c r="H88"/>
  <c r="H87"/>
  <c r="H86"/>
  <c r="H85"/>
  <c r="H84"/>
  <c r="H70"/>
  <c r="H58" s="1"/>
  <c r="H57"/>
  <c r="H56"/>
  <c r="H55"/>
  <c r="H54"/>
  <c r="H53"/>
  <c r="H52"/>
  <c r="H51"/>
  <c r="S111" i="39"/>
  <c r="V86"/>
  <c r="S84"/>
  <c r="S68"/>
  <c r="S66"/>
  <c r="S62"/>
  <c r="S61"/>
  <c r="V53"/>
  <c r="T51"/>
  <c r="T50"/>
  <c r="V49"/>
  <c r="T49"/>
  <c r="T47"/>
  <c r="S47" s="1"/>
  <c r="T45"/>
  <c r="S45" s="1"/>
  <c r="T36"/>
  <c r="C17" i="13" s="1"/>
  <c r="T35" i="39"/>
  <c r="C16" i="13" s="1"/>
  <c r="V16" i="39"/>
  <c r="S16" s="1"/>
  <c r="X46" i="2"/>
  <c r="X47"/>
  <c r="X48"/>
  <c r="X49"/>
  <c r="X45"/>
  <c r="X32"/>
  <c r="X26"/>
  <c r="X24"/>
  <c r="X14"/>
  <c r="H60" i="4" s="1"/>
  <c r="X11" i="2"/>
  <c r="H59" i="4" s="1"/>
  <c r="X8" i="2"/>
  <c r="H7" i="4" s="1"/>
  <c r="BF38" i="35"/>
  <c r="BB38"/>
  <c r="AZ38"/>
  <c r="BF34"/>
  <c r="BB34"/>
  <c r="AZ34"/>
  <c r="BF25"/>
  <c r="BB25"/>
  <c r="AZ25"/>
  <c r="BF24"/>
  <c r="BB24"/>
  <c r="AZ24"/>
  <c r="BF14"/>
  <c r="BF57"/>
  <c r="BB57"/>
  <c r="AZ57"/>
  <c r="BF56"/>
  <c r="BB56"/>
  <c r="AZ56"/>
  <c r="BF55"/>
  <c r="BB55"/>
  <c r="AZ55"/>
  <c r="BF52"/>
  <c r="BB52"/>
  <c r="AZ52"/>
  <c r="BF51"/>
  <c r="BB51"/>
  <c r="AZ51"/>
  <c r="BF50"/>
  <c r="BB50"/>
  <c r="AZ50"/>
  <c r="BF49"/>
  <c r="BB49"/>
  <c r="AZ49"/>
  <c r="BF48"/>
  <c r="BB48"/>
  <c r="AZ48"/>
  <c r="BF47"/>
  <c r="BB47"/>
  <c r="AZ47"/>
  <c r="BF46"/>
  <c r="BB46"/>
  <c r="AZ46"/>
  <c r="BF45"/>
  <c r="BB45"/>
  <c r="AZ45"/>
  <c r="BF37"/>
  <c r="BB37"/>
  <c r="AZ37"/>
  <c r="BF33"/>
  <c r="BB33"/>
  <c r="AZ33"/>
  <c r="BF32"/>
  <c r="BB32"/>
  <c r="AZ32"/>
  <c r="BF31"/>
  <c r="BB31"/>
  <c r="AZ31"/>
  <c r="BF29"/>
  <c r="BB29"/>
  <c r="AZ29"/>
  <c r="BF28"/>
  <c r="BB28"/>
  <c r="AZ28"/>
  <c r="BF27"/>
  <c r="BB27"/>
  <c r="AZ27"/>
  <c r="BF22"/>
  <c r="BB22"/>
  <c r="AZ22"/>
  <c r="BF21"/>
  <c r="BB21"/>
  <c r="AZ21"/>
  <c r="BF17"/>
  <c r="BB17"/>
  <c r="AZ17"/>
  <c r="BF15"/>
  <c r="BB15"/>
  <c r="AZ15"/>
  <c r="BF11"/>
  <c r="BB11"/>
  <c r="AZ11"/>
  <c r="BF10"/>
  <c r="BB10"/>
  <c r="AZ10"/>
  <c r="BF43"/>
  <c r="BB43"/>
  <c r="AZ43"/>
  <c r="BF42"/>
  <c r="BB42"/>
  <c r="AZ42"/>
  <c r="BF26"/>
  <c r="BB26"/>
  <c r="AZ26"/>
  <c r="BF20"/>
  <c r="BB20"/>
  <c r="AZ20"/>
  <c r="BF19"/>
  <c r="BB19"/>
  <c r="AZ19"/>
  <c r="BF16"/>
  <c r="BB16"/>
  <c r="AZ16"/>
  <c r="BF8"/>
  <c r="BB8"/>
  <c r="AZ8"/>
  <c r="BF7"/>
  <c r="BB7"/>
  <c r="AZ7"/>
  <c r="BF6"/>
  <c r="AG57"/>
  <c r="AG113" s="1"/>
  <c r="AG54"/>
  <c r="AG39"/>
  <c r="AG96"/>
  <c r="AG71"/>
  <c r="AG53"/>
  <c r="AG51"/>
  <c r="AG49"/>
  <c r="AG48"/>
  <c r="AG47"/>
  <c r="AG45"/>
  <c r="AG41"/>
  <c r="AG33"/>
  <c r="AG30"/>
  <c r="AG28"/>
  <c r="AG25"/>
  <c r="AG23"/>
  <c r="AG14"/>
  <c r="AG12"/>
  <c r="AG9"/>
  <c r="AG88"/>
  <c r="AG82"/>
  <c r="AG62"/>
  <c r="AG93"/>
  <c r="AG69"/>
  <c r="AG68"/>
  <c r="AG63"/>
  <c r="AG40"/>
  <c r="AG32"/>
  <c r="AG26"/>
  <c r="AG16"/>
  <c r="AG10"/>
  <c r="AG6"/>
  <c r="AG108"/>
  <c r="AG104"/>
  <c r="AG103"/>
  <c r="AG102"/>
  <c r="AG99"/>
  <c r="AG98"/>
  <c r="AG97"/>
  <c r="AG95"/>
  <c r="AG94"/>
  <c r="AG92"/>
  <c r="AG91"/>
  <c r="AG90"/>
  <c r="AG89"/>
  <c r="AG87"/>
  <c r="AG86"/>
  <c r="AG85"/>
  <c r="AG84"/>
  <c r="AG83"/>
  <c r="AG81"/>
  <c r="AG80"/>
  <c r="AG79"/>
  <c r="AG78"/>
  <c r="AG77"/>
  <c r="AG76"/>
  <c r="AG75"/>
  <c r="AG74"/>
  <c r="AG73"/>
  <c r="AG112" s="1"/>
  <c r="AG72"/>
  <c r="AG70"/>
  <c r="AG67"/>
  <c r="AG66"/>
  <c r="AG65"/>
  <c r="AG64"/>
  <c r="AG56"/>
  <c r="AG55"/>
  <c r="AG52"/>
  <c r="AG50"/>
  <c r="AG46"/>
  <c r="AG44"/>
  <c r="AG43"/>
  <c r="AG42"/>
  <c r="AG38"/>
  <c r="AG37"/>
  <c r="AG36"/>
  <c r="AG35"/>
  <c r="AG34"/>
  <c r="AG31"/>
  <c r="AG29"/>
  <c r="AG27"/>
  <c r="AG24"/>
  <c r="AG22"/>
  <c r="AG21"/>
  <c r="AG20"/>
  <c r="AG19"/>
  <c r="AG18"/>
  <c r="AG17"/>
  <c r="AG15"/>
  <c r="AG13"/>
  <c r="AG11"/>
  <c r="AG8"/>
  <c r="C29" i="13"/>
  <c r="C20"/>
  <c r="C15"/>
  <c r="S131" i="39"/>
  <c r="V127"/>
  <c r="U127"/>
  <c r="T127"/>
  <c r="S126"/>
  <c r="S125"/>
  <c r="S124"/>
  <c r="V122"/>
  <c r="U122"/>
  <c r="T122"/>
  <c r="S122"/>
  <c r="S121"/>
  <c r="S120"/>
  <c r="V114"/>
  <c r="U114"/>
  <c r="T114"/>
  <c r="S113"/>
  <c r="S112"/>
  <c r="S110"/>
  <c r="S109"/>
  <c r="S108"/>
  <c r="S107"/>
  <c r="U105"/>
  <c r="S104"/>
  <c r="S103"/>
  <c r="S101"/>
  <c r="S97"/>
  <c r="S96"/>
  <c r="S95"/>
  <c r="S94"/>
  <c r="U91"/>
  <c r="S90"/>
  <c r="S89"/>
  <c r="V88"/>
  <c r="U88"/>
  <c r="T88"/>
  <c r="S88" s="1"/>
  <c r="S87"/>
  <c r="S86"/>
  <c r="S85"/>
  <c r="S83"/>
  <c r="S82"/>
  <c r="S81"/>
  <c r="S80"/>
  <c r="V79"/>
  <c r="U79"/>
  <c r="T79"/>
  <c r="S78"/>
  <c r="S77"/>
  <c r="S76"/>
  <c r="S75"/>
  <c r="S74"/>
  <c r="S73"/>
  <c r="S72"/>
  <c r="S71"/>
  <c r="S70"/>
  <c r="S69"/>
  <c r="V67"/>
  <c r="U67"/>
  <c r="T67"/>
  <c r="S65"/>
  <c r="S64"/>
  <c r="S63"/>
  <c r="S60"/>
  <c r="S59"/>
  <c r="S58"/>
  <c r="S57"/>
  <c r="S56"/>
  <c r="S55"/>
  <c r="S54"/>
  <c r="S53"/>
  <c r="V52"/>
  <c r="U52"/>
  <c r="T52"/>
  <c r="S51"/>
  <c r="S50"/>
  <c r="S48"/>
  <c r="S46"/>
  <c r="U41"/>
  <c r="S39"/>
  <c r="S34"/>
  <c r="S28"/>
  <c r="S27"/>
  <c r="S26"/>
  <c r="S25"/>
  <c r="S24"/>
  <c r="S23"/>
  <c r="S22"/>
  <c r="S20" s="1"/>
  <c r="S21"/>
  <c r="V20"/>
  <c r="U20"/>
  <c r="T20"/>
  <c r="U19"/>
  <c r="U29" s="1"/>
  <c r="S18"/>
  <c r="S17"/>
  <c r="S15"/>
  <c r="S14"/>
  <c r="S13"/>
  <c r="S12"/>
  <c r="S10"/>
  <c r="S9"/>
  <c r="S8"/>
  <c r="F103" i="4"/>
  <c r="S52" i="39" l="1"/>
  <c r="S67"/>
  <c r="S49"/>
  <c r="S36"/>
  <c r="S35"/>
  <c r="AG7" i="35"/>
  <c r="AI118"/>
  <c r="AI119"/>
  <c r="S127" i="39"/>
  <c r="S114"/>
  <c r="U98"/>
  <c r="U116" s="1"/>
  <c r="U118" s="1"/>
  <c r="U129" s="1"/>
  <c r="U133" s="1"/>
  <c r="S79"/>
  <c r="L84" i="4"/>
  <c r="L85"/>
  <c r="L86"/>
  <c r="L87"/>
  <c r="L88"/>
  <c r="L90"/>
  <c r="L91"/>
  <c r="L92"/>
  <c r="L93"/>
  <c r="H89"/>
  <c r="H61"/>
  <c r="H46"/>
  <c r="H41"/>
  <c r="H37"/>
  <c r="H29"/>
  <c r="H24"/>
  <c r="H20"/>
  <c r="N76" i="34"/>
  <c r="O76" s="1"/>
  <c r="N77"/>
  <c r="O77" s="1"/>
  <c r="N78"/>
  <c r="O78" s="1"/>
  <c r="N79"/>
  <c r="O79" s="1"/>
  <c r="N80"/>
  <c r="O80" s="1"/>
  <c r="N81"/>
  <c r="O81" s="1"/>
  <c r="N82"/>
  <c r="O82" s="1"/>
  <c r="N39"/>
  <c r="O39" s="1"/>
  <c r="N40"/>
  <c r="O40" s="1"/>
  <c r="N41"/>
  <c r="O41" s="1"/>
  <c r="N42"/>
  <c r="O42" s="1"/>
  <c r="N43"/>
  <c r="O43" s="1"/>
  <c r="U1189" i="7" l="1"/>
  <c r="X1191" s="1"/>
  <c r="AJ109" i="35"/>
  <c r="AO119"/>
  <c r="H5" i="13"/>
  <c r="H50" i="4"/>
  <c r="H36"/>
  <c r="H19"/>
  <c r="AG106" i="35" l="1"/>
  <c r="AE109"/>
  <c r="AF109"/>
  <c r="AI109"/>
  <c r="AH109"/>
  <c r="AG107"/>
  <c r="AD109"/>
  <c r="O110" i="34"/>
  <c r="O106"/>
  <c r="O99"/>
  <c r="O90"/>
  <c r="O86"/>
  <c r="I131"/>
  <c r="I126"/>
  <c r="I121"/>
  <c r="I110"/>
  <c r="I106"/>
  <c r="I99"/>
  <c r="I94"/>
  <c r="I118" s="1"/>
  <c r="I151" s="1"/>
  <c r="I90"/>
  <c r="I86"/>
  <c r="I46"/>
  <c r="I6"/>
  <c r="CH52" i="12"/>
  <c r="CF52" s="1"/>
  <c r="CG52"/>
  <c r="CC52"/>
  <c r="BZ52"/>
  <c r="BW52"/>
  <c r="CH51"/>
  <c r="CG51"/>
  <c r="CF51" s="1"/>
  <c r="CC51"/>
  <c r="BZ51"/>
  <c r="BW51"/>
  <c r="CH50"/>
  <c r="CG50"/>
  <c r="CC50"/>
  <c r="BZ50"/>
  <c r="BW50"/>
  <c r="CG49"/>
  <c r="CE49"/>
  <c r="CD49"/>
  <c r="CC49" s="1"/>
  <c r="CB49"/>
  <c r="CA49"/>
  <c r="BY49"/>
  <c r="BX49"/>
  <c r="BW49" s="1"/>
  <c r="CH48"/>
  <c r="CG48"/>
  <c r="CF48" s="1"/>
  <c r="CC48"/>
  <c r="BZ48"/>
  <c r="BW48"/>
  <c r="CH47"/>
  <c r="CG47"/>
  <c r="CG45" s="1"/>
  <c r="CC47"/>
  <c r="BZ47"/>
  <c r="BW47"/>
  <c r="CH46"/>
  <c r="CF46" s="1"/>
  <c r="CG46"/>
  <c r="CC46"/>
  <c r="BZ46"/>
  <c r="BW46"/>
  <c r="CH45"/>
  <c r="CE45"/>
  <c r="CD45"/>
  <c r="CB45"/>
  <c r="BZ45" s="1"/>
  <c r="CA45"/>
  <c r="BY45"/>
  <c r="BX45"/>
  <c r="BW45" s="1"/>
  <c r="CH44"/>
  <c r="CG44"/>
  <c r="CC44"/>
  <c r="BZ44"/>
  <c r="BW44"/>
  <c r="CH43"/>
  <c r="CF43" s="1"/>
  <c r="CG43"/>
  <c r="CC43"/>
  <c r="BZ43"/>
  <c r="BW43"/>
  <c r="CH42"/>
  <c r="CG42"/>
  <c r="CG41" s="1"/>
  <c r="CF41" s="1"/>
  <c r="CC42"/>
  <c r="BZ42"/>
  <c r="BW42"/>
  <c r="CH41"/>
  <c r="CE41"/>
  <c r="CD41"/>
  <c r="CC41" s="1"/>
  <c r="CB41"/>
  <c r="CA41"/>
  <c r="BY41"/>
  <c r="BX41"/>
  <c r="BW41" s="1"/>
  <c r="CH40"/>
  <c r="CG40"/>
  <c r="CG37" s="1"/>
  <c r="CC40"/>
  <c r="BZ40"/>
  <c r="BW40"/>
  <c r="CH39"/>
  <c r="CG39"/>
  <c r="CF39"/>
  <c r="CC39"/>
  <c r="BZ39"/>
  <c r="BW39"/>
  <c r="CH38"/>
  <c r="CF38" s="1"/>
  <c r="CG38"/>
  <c r="CC38"/>
  <c r="BZ38"/>
  <c r="BW38"/>
  <c r="CE37"/>
  <c r="CD37"/>
  <c r="CB37"/>
  <c r="CH37" s="1"/>
  <c r="CA37"/>
  <c r="BY37"/>
  <c r="BX37"/>
  <c r="BW37" s="1"/>
  <c r="CH36"/>
  <c r="CG36"/>
  <c r="CC36"/>
  <c r="BZ36"/>
  <c r="BW36"/>
  <c r="CH35"/>
  <c r="CG35"/>
  <c r="CF35"/>
  <c r="CC35"/>
  <c r="BZ35"/>
  <c r="BW35"/>
  <c r="CH34"/>
  <c r="CF34" s="1"/>
  <c r="CG34"/>
  <c r="CC34"/>
  <c r="BZ34"/>
  <c r="BW34"/>
  <c r="CG33"/>
  <c r="CE33"/>
  <c r="CD33"/>
  <c r="CC33" s="1"/>
  <c r="CB33"/>
  <c r="CA33"/>
  <c r="BZ33" s="1"/>
  <c r="BY33"/>
  <c r="BX33"/>
  <c r="CH32"/>
  <c r="CF32" s="1"/>
  <c r="CG32"/>
  <c r="CC32"/>
  <c r="BZ32"/>
  <c r="BW32"/>
  <c r="CH31"/>
  <c r="CG31"/>
  <c r="CF31" s="1"/>
  <c r="CC31"/>
  <c r="BZ31"/>
  <c r="BW31"/>
  <c r="CH30"/>
  <c r="CG30"/>
  <c r="CG29" s="1"/>
  <c r="CF29" s="1"/>
  <c r="CC30"/>
  <c r="BZ30"/>
  <c r="BW30"/>
  <c r="CH29"/>
  <c r="CE29"/>
  <c r="CD29"/>
  <c r="CC29" s="1"/>
  <c r="CB29"/>
  <c r="CA29"/>
  <c r="BZ29" s="1"/>
  <c r="BY29"/>
  <c r="BX29"/>
  <c r="CH28"/>
  <c r="CF28" s="1"/>
  <c r="CG28"/>
  <c r="CC28"/>
  <c r="BZ28"/>
  <c r="BW28"/>
  <c r="CH27"/>
  <c r="CG27"/>
  <c r="CF27" s="1"/>
  <c r="CC27"/>
  <c r="BZ27"/>
  <c r="BW27"/>
  <c r="CH26"/>
  <c r="CG26"/>
  <c r="CG25" s="1"/>
  <c r="CF25" s="1"/>
  <c r="CC26"/>
  <c r="BZ26"/>
  <c r="BW26"/>
  <c r="CH25"/>
  <c r="CE25"/>
  <c r="CD25"/>
  <c r="CC25" s="1"/>
  <c r="CB25"/>
  <c r="CA25"/>
  <c r="BZ25" s="1"/>
  <c r="BY25"/>
  <c r="BX25"/>
  <c r="CH24"/>
  <c r="CF24" s="1"/>
  <c r="CG24"/>
  <c r="CC24"/>
  <c r="BZ24"/>
  <c r="BW24"/>
  <c r="CH23"/>
  <c r="CG23"/>
  <c r="CG21" s="1"/>
  <c r="CC23"/>
  <c r="BZ23"/>
  <c r="BW23"/>
  <c r="CH22"/>
  <c r="CG22"/>
  <c r="CF22"/>
  <c r="CC22"/>
  <c r="BZ22"/>
  <c r="BW22"/>
  <c r="CH21"/>
  <c r="CE21"/>
  <c r="CD21"/>
  <c r="CB21"/>
  <c r="BZ21" s="1"/>
  <c r="CA21"/>
  <c r="BY21"/>
  <c r="BX21"/>
  <c r="BW21" s="1"/>
  <c r="CC20"/>
  <c r="BW20"/>
  <c r="CH19"/>
  <c r="V102" i="39" s="1"/>
  <c r="CC19" i="12"/>
  <c r="BW19"/>
  <c r="CH18"/>
  <c r="CG18"/>
  <c r="CC18"/>
  <c r="BZ18"/>
  <c r="BW18"/>
  <c r="CE17"/>
  <c r="CC17" s="1"/>
  <c r="CD17"/>
  <c r="BY17"/>
  <c r="BX17"/>
  <c r="BW17"/>
  <c r="CH16"/>
  <c r="BW16"/>
  <c r="CH15"/>
  <c r="BW15"/>
  <c r="CH14"/>
  <c r="CG14"/>
  <c r="CF14" s="1"/>
  <c r="CC14"/>
  <c r="BZ14"/>
  <c r="BW14"/>
  <c r="CE13"/>
  <c r="CB13"/>
  <c r="BY13"/>
  <c r="BW13" s="1"/>
  <c r="BX13"/>
  <c r="AG109" i="35" l="1"/>
  <c r="AG111" s="1"/>
  <c r="AI112" s="1"/>
  <c r="O6" i="34"/>
  <c r="I120"/>
  <c r="I156" s="1"/>
  <c r="O46"/>
  <c r="I98"/>
  <c r="I117" s="1"/>
  <c r="I150" s="1"/>
  <c r="CF37" i="12"/>
  <c r="CF45"/>
  <c r="CH13"/>
  <c r="CC21"/>
  <c r="BW25"/>
  <c r="CF30"/>
  <c r="BW33"/>
  <c r="CH33"/>
  <c r="CF33" s="1"/>
  <c r="CF36"/>
  <c r="CF40"/>
  <c r="BZ41"/>
  <c r="CF44"/>
  <c r="CF47"/>
  <c r="CF21"/>
  <c r="BZ37"/>
  <c r="CF23"/>
  <c r="CF26"/>
  <c r="BW29"/>
  <c r="CC37"/>
  <c r="CF42"/>
  <c r="CC45"/>
  <c r="BZ49"/>
  <c r="CF50"/>
  <c r="CF18"/>
  <c r="CH49"/>
  <c r="CF49" s="1"/>
  <c r="B26" i="36"/>
  <c r="C9"/>
  <c r="B9"/>
  <c r="K1487" i="7"/>
  <c r="J1487"/>
  <c r="P1486"/>
  <c r="O1486"/>
  <c r="P1485"/>
  <c r="O1485"/>
  <c r="P1484"/>
  <c r="O1484"/>
  <c r="P1483"/>
  <c r="O1483"/>
  <c r="P1482"/>
  <c r="O1482"/>
  <c r="P1481"/>
  <c r="O1481"/>
  <c r="P1480"/>
  <c r="O1480"/>
  <c r="P1479"/>
  <c r="O1479"/>
  <c r="P1478"/>
  <c r="O1478"/>
  <c r="P1477"/>
  <c r="O1477"/>
  <c r="P1476"/>
  <c r="O1476"/>
  <c r="P1475"/>
  <c r="O1475"/>
  <c r="P1474"/>
  <c r="O1474"/>
  <c r="P1473"/>
  <c r="O1473"/>
  <c r="P1472"/>
  <c r="O1472"/>
  <c r="P1471"/>
  <c r="O1471"/>
  <c r="P1470"/>
  <c r="O1470"/>
  <c r="P1469"/>
  <c r="O1469"/>
  <c r="P1468"/>
  <c r="O1468"/>
  <c r="P1467"/>
  <c r="O1467"/>
  <c r="P1466"/>
  <c r="O1466"/>
  <c r="P1465"/>
  <c r="O1465"/>
  <c r="P1464"/>
  <c r="O1464"/>
  <c r="P1463"/>
  <c r="O1463"/>
  <c r="P1462"/>
  <c r="O1462"/>
  <c r="P1461"/>
  <c r="O1461"/>
  <c r="P1460"/>
  <c r="O1460"/>
  <c r="P1459"/>
  <c r="O1459"/>
  <c r="P1458"/>
  <c r="O1458"/>
  <c r="P1457"/>
  <c r="O1457"/>
  <c r="P1456"/>
  <c r="O1456"/>
  <c r="P1454"/>
  <c r="O1454"/>
  <c r="P1453"/>
  <c r="O1453"/>
  <c r="P1452"/>
  <c r="O1452"/>
  <c r="P1451"/>
  <c r="O1451"/>
  <c r="P1450"/>
  <c r="O1450"/>
  <c r="P1449"/>
  <c r="O1449"/>
  <c r="P1448"/>
  <c r="O1448"/>
  <c r="P1447"/>
  <c r="O1447"/>
  <c r="P1446"/>
  <c r="O1446"/>
  <c r="P1445"/>
  <c r="O1445"/>
  <c r="P1444"/>
  <c r="O1444"/>
  <c r="P1443"/>
  <c r="O1443"/>
  <c r="P1442"/>
  <c r="O1442"/>
  <c r="P1441"/>
  <c r="O1441"/>
  <c r="P1440"/>
  <c r="O1440"/>
  <c r="P1439"/>
  <c r="O1439"/>
  <c r="P1438"/>
  <c r="O1438"/>
  <c r="P1437"/>
  <c r="O1437"/>
  <c r="P1436"/>
  <c r="O1436"/>
  <c r="P1435"/>
  <c r="O1435"/>
  <c r="P1434"/>
  <c r="O1434"/>
  <c r="P1433"/>
  <c r="O1433"/>
  <c r="P1432"/>
  <c r="O1432"/>
  <c r="P1431"/>
  <c r="O1431"/>
  <c r="P1430"/>
  <c r="O1430"/>
  <c r="P1429"/>
  <c r="O1429"/>
  <c r="P1428"/>
  <c r="O1428"/>
  <c r="P1427"/>
  <c r="O1427"/>
  <c r="P1426"/>
  <c r="O1426"/>
  <c r="P1425"/>
  <c r="O1425"/>
  <c r="P1424"/>
  <c r="O1424"/>
  <c r="P1423"/>
  <c r="O1423"/>
  <c r="P1421"/>
  <c r="O1421"/>
  <c r="P1420"/>
  <c r="O1420"/>
  <c r="P1419"/>
  <c r="O1419"/>
  <c r="P1418"/>
  <c r="O1418"/>
  <c r="P1417"/>
  <c r="O1417"/>
  <c r="P1416"/>
  <c r="O1416"/>
  <c r="P1415"/>
  <c r="O1415"/>
  <c r="P1414"/>
  <c r="O1414"/>
  <c r="P1413"/>
  <c r="O1413"/>
  <c r="P1412"/>
  <c r="O1412"/>
  <c r="P1411"/>
  <c r="O1411"/>
  <c r="P1410"/>
  <c r="O1410"/>
  <c r="P1409"/>
  <c r="O1409"/>
  <c r="P1408"/>
  <c r="O1408"/>
  <c r="P1407"/>
  <c r="O1407"/>
  <c r="P1406"/>
  <c r="O1406"/>
  <c r="P1405"/>
  <c r="O1405"/>
  <c r="P1404"/>
  <c r="O1404"/>
  <c r="P1403"/>
  <c r="O1403"/>
  <c r="P1402"/>
  <c r="O1402"/>
  <c r="P1401"/>
  <c r="O1401"/>
  <c r="P1400"/>
  <c r="O1400"/>
  <c r="P1399"/>
  <c r="O1399"/>
  <c r="P1398"/>
  <c r="O1398"/>
  <c r="P1397"/>
  <c r="O1397"/>
  <c r="P1396"/>
  <c r="O1396"/>
  <c r="P1395"/>
  <c r="O1395"/>
  <c r="P1394"/>
  <c r="O1394"/>
  <c r="P1393"/>
  <c r="O1393"/>
  <c r="P1392"/>
  <c r="O1392"/>
  <c r="P1391"/>
  <c r="O1391"/>
  <c r="P1390"/>
  <c r="O1390"/>
  <c r="P1388"/>
  <c r="O1388"/>
  <c r="P1387"/>
  <c r="O1387"/>
  <c r="P1386"/>
  <c r="O1386"/>
  <c r="P1385"/>
  <c r="O1385"/>
  <c r="P1384"/>
  <c r="O1384"/>
  <c r="P1383"/>
  <c r="O1383"/>
  <c r="P1382"/>
  <c r="O1382"/>
  <c r="P1381"/>
  <c r="O1381"/>
  <c r="P1380"/>
  <c r="O1380"/>
  <c r="P1379"/>
  <c r="O1379"/>
  <c r="P1378"/>
  <c r="O1378"/>
  <c r="P1377"/>
  <c r="O1377"/>
  <c r="P1376"/>
  <c r="O1376"/>
  <c r="P1375"/>
  <c r="O1375"/>
  <c r="P1374"/>
  <c r="O1374"/>
  <c r="P1373"/>
  <c r="O1373"/>
  <c r="P1372"/>
  <c r="O1372"/>
  <c r="P1371"/>
  <c r="O1371"/>
  <c r="P1370"/>
  <c r="O1370"/>
  <c r="P1369"/>
  <c r="O1369"/>
  <c r="P1368"/>
  <c r="O1368"/>
  <c r="P1367"/>
  <c r="O1367"/>
  <c r="P1366"/>
  <c r="O1366"/>
  <c r="P1365"/>
  <c r="O1365"/>
  <c r="P1364"/>
  <c r="O1364"/>
  <c r="P1363"/>
  <c r="O1363"/>
  <c r="P1362"/>
  <c r="O1362"/>
  <c r="P1361"/>
  <c r="O1361"/>
  <c r="P1360"/>
  <c r="O1360"/>
  <c r="P1359"/>
  <c r="O1359"/>
  <c r="P1358"/>
  <c r="O1358"/>
  <c r="P1357"/>
  <c r="O1357"/>
  <c r="P1355"/>
  <c r="O1355"/>
  <c r="Q1352"/>
  <c r="G204" i="14"/>
  <c r="G198"/>
  <c r="G192"/>
  <c r="G186"/>
  <c r="G180"/>
  <c r="G174"/>
  <c r="G168"/>
  <c r="G162"/>
  <c r="G156"/>
  <c r="G152"/>
  <c r="G148"/>
  <c r="G144"/>
  <c r="G140"/>
  <c r="G136"/>
  <c r="G132"/>
  <c r="G124"/>
  <c r="G120"/>
  <c r="G116"/>
  <c r="G84"/>
  <c r="G80"/>
  <c r="G76"/>
  <c r="G72"/>
  <c r="G68"/>
  <c r="G64"/>
  <c r="G60"/>
  <c r="G56"/>
  <c r="G52"/>
  <c r="G46"/>
  <c r="G42"/>
  <c r="E218"/>
  <c r="E215"/>
  <c r="D218"/>
  <c r="D215"/>
  <c r="C218"/>
  <c r="C215"/>
  <c r="AG115" i="35" l="1"/>
  <c r="G97" i="4" s="1"/>
  <c r="AI113" i="35"/>
  <c r="O98" i="34"/>
  <c r="O1352" i="7"/>
  <c r="I119" i="34"/>
  <c r="I152" s="1"/>
  <c r="CC15" i="12"/>
  <c r="O1487" i="7"/>
  <c r="V32" i="39" s="1"/>
  <c r="P1487" i="7"/>
  <c r="P1352"/>
  <c r="AB19" i="15"/>
  <c r="AB18"/>
  <c r="AB17"/>
  <c r="AB14"/>
  <c r="AB13"/>
  <c r="AB12"/>
  <c r="AB9"/>
  <c r="AB8"/>
  <c r="AB7"/>
  <c r="P32"/>
  <c r="P29"/>
  <c r="P26"/>
  <c r="J32"/>
  <c r="J29"/>
  <c r="J26"/>
  <c r="D32"/>
  <c r="D29"/>
  <c r="D26"/>
  <c r="AB21" l="1"/>
  <c r="AB24" s="1"/>
  <c r="V92" i="39" s="1"/>
  <c r="CG15" i="12"/>
  <c r="BZ15"/>
  <c r="AB11" i="15"/>
  <c r="AB16"/>
  <c r="N125" i="39"/>
  <c r="N121"/>
  <c r="L97"/>
  <c r="O131"/>
  <c r="R127"/>
  <c r="Q127"/>
  <c r="P127"/>
  <c r="O127"/>
  <c r="O126"/>
  <c r="O125"/>
  <c r="O124"/>
  <c r="R122"/>
  <c r="Q122"/>
  <c r="O122" s="1"/>
  <c r="P122"/>
  <c r="O121"/>
  <c r="O120"/>
  <c r="R114"/>
  <c r="Q114"/>
  <c r="P114"/>
  <c r="O113"/>
  <c r="O112"/>
  <c r="O111"/>
  <c r="O110"/>
  <c r="O109"/>
  <c r="O108"/>
  <c r="O107"/>
  <c r="Q105"/>
  <c r="O104"/>
  <c r="O103"/>
  <c r="O101"/>
  <c r="O97"/>
  <c r="O96"/>
  <c r="O95"/>
  <c r="O94"/>
  <c r="Q91"/>
  <c r="O90"/>
  <c r="O89"/>
  <c r="R88"/>
  <c r="Q88"/>
  <c r="P88"/>
  <c r="O87"/>
  <c r="O86"/>
  <c r="O85"/>
  <c r="O84"/>
  <c r="O83"/>
  <c r="O82"/>
  <c r="O81"/>
  <c r="O80"/>
  <c r="R79"/>
  <c r="Q79"/>
  <c r="P79"/>
  <c r="O78"/>
  <c r="O77"/>
  <c r="O76"/>
  <c r="O75"/>
  <c r="O74"/>
  <c r="O73"/>
  <c r="O72"/>
  <c r="O71"/>
  <c r="O70"/>
  <c r="O69"/>
  <c r="O68"/>
  <c r="R67"/>
  <c r="Q67"/>
  <c r="P67"/>
  <c r="O67" s="1"/>
  <c r="O66"/>
  <c r="O65"/>
  <c r="O64"/>
  <c r="O63"/>
  <c r="O62"/>
  <c r="O61"/>
  <c r="O60"/>
  <c r="O59"/>
  <c r="O58"/>
  <c r="O57"/>
  <c r="O56"/>
  <c r="O55"/>
  <c r="O54"/>
  <c r="O53"/>
  <c r="R52"/>
  <c r="Q52"/>
  <c r="Q98" s="1"/>
  <c r="P52"/>
  <c r="O51"/>
  <c r="O50"/>
  <c r="O49"/>
  <c r="O48"/>
  <c r="O47"/>
  <c r="O46"/>
  <c r="O45"/>
  <c r="Q41"/>
  <c r="O39"/>
  <c r="O36"/>
  <c r="O35"/>
  <c r="O34"/>
  <c r="K131"/>
  <c r="N127"/>
  <c r="K127" s="1"/>
  <c r="M127"/>
  <c r="L127"/>
  <c r="K126"/>
  <c r="K125"/>
  <c r="K124"/>
  <c r="N122"/>
  <c r="K122" s="1"/>
  <c r="M122"/>
  <c r="L122"/>
  <c r="K121"/>
  <c r="K120"/>
  <c r="N114"/>
  <c r="M114"/>
  <c r="L114"/>
  <c r="K113"/>
  <c r="K112"/>
  <c r="K111"/>
  <c r="K110"/>
  <c r="K109"/>
  <c r="K108"/>
  <c r="K107"/>
  <c r="M105"/>
  <c r="K104"/>
  <c r="K103"/>
  <c r="K97"/>
  <c r="K96"/>
  <c r="K95"/>
  <c r="K94"/>
  <c r="K93"/>
  <c r="K92"/>
  <c r="N91"/>
  <c r="M91"/>
  <c r="L91"/>
  <c r="K91" s="1"/>
  <c r="K90"/>
  <c r="K89"/>
  <c r="N88"/>
  <c r="M88"/>
  <c r="L88"/>
  <c r="K87"/>
  <c r="K86"/>
  <c r="K85"/>
  <c r="K84"/>
  <c r="K83"/>
  <c r="K82"/>
  <c r="K81"/>
  <c r="K80"/>
  <c r="N79"/>
  <c r="M79"/>
  <c r="L79"/>
  <c r="K79" s="1"/>
  <c r="K78"/>
  <c r="K77"/>
  <c r="K76"/>
  <c r="K75"/>
  <c r="K74"/>
  <c r="K73"/>
  <c r="K72"/>
  <c r="K71"/>
  <c r="K70"/>
  <c r="K69"/>
  <c r="K68"/>
  <c r="N67"/>
  <c r="M67"/>
  <c r="L67"/>
  <c r="K66"/>
  <c r="K65"/>
  <c r="K64"/>
  <c r="K63"/>
  <c r="K62"/>
  <c r="K61"/>
  <c r="K60"/>
  <c r="K59"/>
  <c r="K58"/>
  <c r="K57"/>
  <c r="K56"/>
  <c r="K55"/>
  <c r="K54"/>
  <c r="K53"/>
  <c r="N52"/>
  <c r="M52"/>
  <c r="M98" s="1"/>
  <c r="L52"/>
  <c r="K52" s="1"/>
  <c r="K51"/>
  <c r="K50"/>
  <c r="K49"/>
  <c r="K48"/>
  <c r="K47"/>
  <c r="K46"/>
  <c r="K45"/>
  <c r="K44"/>
  <c r="E212" i="14" s="1"/>
  <c r="K43" i="39"/>
  <c r="N41"/>
  <c r="M41"/>
  <c r="K40"/>
  <c r="K39"/>
  <c r="K36"/>
  <c r="K35"/>
  <c r="K34"/>
  <c r="K33"/>
  <c r="K32"/>
  <c r="G131"/>
  <c r="J127"/>
  <c r="I127"/>
  <c r="H127"/>
  <c r="G126"/>
  <c r="G125"/>
  <c r="G124"/>
  <c r="J122"/>
  <c r="I122"/>
  <c r="H122"/>
  <c r="G122"/>
  <c r="G121"/>
  <c r="G120"/>
  <c r="J114"/>
  <c r="I114"/>
  <c r="H114"/>
  <c r="G113"/>
  <c r="G112"/>
  <c r="G111"/>
  <c r="G110"/>
  <c r="G109"/>
  <c r="G108"/>
  <c r="G107"/>
  <c r="I105"/>
  <c r="G104"/>
  <c r="G103"/>
  <c r="G101"/>
  <c r="G97"/>
  <c r="G96"/>
  <c r="G95"/>
  <c r="G94"/>
  <c r="G93"/>
  <c r="G92"/>
  <c r="J91"/>
  <c r="I91"/>
  <c r="H91"/>
  <c r="G91" s="1"/>
  <c r="G90"/>
  <c r="G89"/>
  <c r="J88"/>
  <c r="I88"/>
  <c r="H88"/>
  <c r="G87"/>
  <c r="G86"/>
  <c r="G85"/>
  <c r="G84"/>
  <c r="G83"/>
  <c r="G82"/>
  <c r="G81"/>
  <c r="G80"/>
  <c r="J79"/>
  <c r="I79"/>
  <c r="H79"/>
  <c r="G78"/>
  <c r="G77"/>
  <c r="G76"/>
  <c r="G75"/>
  <c r="G74"/>
  <c r="G73"/>
  <c r="G72"/>
  <c r="G71"/>
  <c r="G70"/>
  <c r="G69"/>
  <c r="G68"/>
  <c r="J67"/>
  <c r="I67"/>
  <c r="H67"/>
  <c r="G67" s="1"/>
  <c r="G66"/>
  <c r="G65"/>
  <c r="G64"/>
  <c r="G63"/>
  <c r="G62"/>
  <c r="G61"/>
  <c r="G60"/>
  <c r="G59"/>
  <c r="G58"/>
  <c r="G57"/>
  <c r="G56"/>
  <c r="G55"/>
  <c r="G54"/>
  <c r="G53"/>
  <c r="J52"/>
  <c r="J98" s="1"/>
  <c r="I52"/>
  <c r="H52"/>
  <c r="G51"/>
  <c r="G50"/>
  <c r="G49"/>
  <c r="G48"/>
  <c r="G47"/>
  <c r="G46"/>
  <c r="G45"/>
  <c r="G44"/>
  <c r="D212" i="14" s="1"/>
  <c r="G43" i="39"/>
  <c r="J41"/>
  <c r="I41"/>
  <c r="G40"/>
  <c r="G39"/>
  <c r="G36"/>
  <c r="G35"/>
  <c r="G34"/>
  <c r="G33"/>
  <c r="G32"/>
  <c r="E127"/>
  <c r="F127"/>
  <c r="D127"/>
  <c r="E122"/>
  <c r="F122"/>
  <c r="D122"/>
  <c r="C114"/>
  <c r="E114"/>
  <c r="F114"/>
  <c r="D114"/>
  <c r="C131"/>
  <c r="C126"/>
  <c r="C125"/>
  <c r="C124"/>
  <c r="C121"/>
  <c r="C120"/>
  <c r="C108"/>
  <c r="C109"/>
  <c r="C110"/>
  <c r="C111"/>
  <c r="C112"/>
  <c r="C113"/>
  <c r="C107"/>
  <c r="E105"/>
  <c r="C104"/>
  <c r="C103"/>
  <c r="C101"/>
  <c r="E91"/>
  <c r="F91"/>
  <c r="D91"/>
  <c r="E88"/>
  <c r="F88"/>
  <c r="D88"/>
  <c r="E79"/>
  <c r="F79"/>
  <c r="D79"/>
  <c r="E41"/>
  <c r="F41"/>
  <c r="C78"/>
  <c r="C80"/>
  <c r="C81"/>
  <c r="C82"/>
  <c r="C83"/>
  <c r="C84"/>
  <c r="C85"/>
  <c r="C86"/>
  <c r="C87"/>
  <c r="C89"/>
  <c r="C90"/>
  <c r="C92"/>
  <c r="C93"/>
  <c r="C94"/>
  <c r="C95"/>
  <c r="C96"/>
  <c r="C97"/>
  <c r="C77"/>
  <c r="F67"/>
  <c r="E67"/>
  <c r="C67" s="1"/>
  <c r="D67"/>
  <c r="F52"/>
  <c r="F98" s="1"/>
  <c r="E52"/>
  <c r="D52"/>
  <c r="C66"/>
  <c r="C65"/>
  <c r="C64"/>
  <c r="C63"/>
  <c r="C62"/>
  <c r="C61"/>
  <c r="C76"/>
  <c r="C75"/>
  <c r="C74"/>
  <c r="C73"/>
  <c r="C72"/>
  <c r="C71"/>
  <c r="C70"/>
  <c r="C69"/>
  <c r="C68"/>
  <c r="C60"/>
  <c r="C59"/>
  <c r="C58"/>
  <c r="C57"/>
  <c r="C56"/>
  <c r="C55"/>
  <c r="C54"/>
  <c r="C53"/>
  <c r="C51"/>
  <c r="C50"/>
  <c r="C49"/>
  <c r="C48"/>
  <c r="C47"/>
  <c r="C46"/>
  <c r="C45"/>
  <c r="C44"/>
  <c r="C212" i="14" s="1"/>
  <c r="C43" i="39"/>
  <c r="C40"/>
  <c r="C39"/>
  <c r="C36"/>
  <c r="C35"/>
  <c r="C34"/>
  <c r="C33"/>
  <c r="C32"/>
  <c r="Q29"/>
  <c r="M29"/>
  <c r="I29"/>
  <c r="E29"/>
  <c r="R20"/>
  <c r="Q20"/>
  <c r="P20"/>
  <c r="O20"/>
  <c r="K20"/>
  <c r="G20"/>
  <c r="C20"/>
  <c r="L25"/>
  <c r="N20"/>
  <c r="M20"/>
  <c r="L20"/>
  <c r="J20"/>
  <c r="I20"/>
  <c r="H20"/>
  <c r="F20"/>
  <c r="E20"/>
  <c r="D20"/>
  <c r="O28"/>
  <c r="O27"/>
  <c r="O26"/>
  <c r="O25"/>
  <c r="O24"/>
  <c r="O23"/>
  <c r="O22"/>
  <c r="O21"/>
  <c r="K28"/>
  <c r="K27"/>
  <c r="K26"/>
  <c r="K25"/>
  <c r="K24"/>
  <c r="K23"/>
  <c r="K22"/>
  <c r="K21"/>
  <c r="G28"/>
  <c r="G27"/>
  <c r="G26"/>
  <c r="G25"/>
  <c r="G24"/>
  <c r="G23"/>
  <c r="G22"/>
  <c r="G21"/>
  <c r="C28"/>
  <c r="C27"/>
  <c r="C26"/>
  <c r="C25"/>
  <c r="C24"/>
  <c r="C23"/>
  <c r="C22"/>
  <c r="C21"/>
  <c r="O18"/>
  <c r="O17"/>
  <c r="O16"/>
  <c r="O15"/>
  <c r="O14"/>
  <c r="O13"/>
  <c r="O12"/>
  <c r="O10"/>
  <c r="O9"/>
  <c r="O8"/>
  <c r="K18"/>
  <c r="K17"/>
  <c r="K16"/>
  <c r="K15"/>
  <c r="K14"/>
  <c r="K13"/>
  <c r="K12"/>
  <c r="K10"/>
  <c r="K9"/>
  <c r="K8"/>
  <c r="G18"/>
  <c r="G17"/>
  <c r="G16"/>
  <c r="G15"/>
  <c r="G14"/>
  <c r="G13"/>
  <c r="G12"/>
  <c r="G10"/>
  <c r="G9"/>
  <c r="G8"/>
  <c r="C18"/>
  <c r="C17"/>
  <c r="C16"/>
  <c r="C15"/>
  <c r="C14"/>
  <c r="C13"/>
  <c r="C12"/>
  <c r="C10"/>
  <c r="C9"/>
  <c r="C8"/>
  <c r="Q19"/>
  <c r="M19"/>
  <c r="I19"/>
  <c r="E19"/>
  <c r="R16"/>
  <c r="R13"/>
  <c r="N13"/>
  <c r="AB26" i="2"/>
  <c r="AB14"/>
  <c r="AB8"/>
  <c r="AA32"/>
  <c r="AA26"/>
  <c r="AA24"/>
  <c r="AB11"/>
  <c r="Z44"/>
  <c r="Z43"/>
  <c r="Z42"/>
  <c r="X21"/>
  <c r="X18"/>
  <c r="Z15"/>
  <c r="Z14"/>
  <c r="Z13"/>
  <c r="Z11"/>
  <c r="Z10"/>
  <c r="Z7"/>
  <c r="Z6"/>
  <c r="S18"/>
  <c r="S17"/>
  <c r="N18"/>
  <c r="D18"/>
  <c r="D17"/>
  <c r="AA18" l="1"/>
  <c r="AB18"/>
  <c r="O114" i="39"/>
  <c r="O52"/>
  <c r="K114"/>
  <c r="AB22" i="15"/>
  <c r="BZ16" i="12"/>
  <c r="CF15"/>
  <c r="CA13"/>
  <c r="AB23" i="15"/>
  <c r="T92" i="39" s="1"/>
  <c r="H104" i="4" s="1"/>
  <c r="G127" i="39"/>
  <c r="C122"/>
  <c r="G114"/>
  <c r="O88"/>
  <c r="K88"/>
  <c r="C79"/>
  <c r="C91"/>
  <c r="G88"/>
  <c r="C88"/>
  <c r="D98"/>
  <c r="N98"/>
  <c r="K67"/>
  <c r="E98"/>
  <c r="E116" s="1"/>
  <c r="E118" s="1"/>
  <c r="E129" s="1"/>
  <c r="E133" s="1"/>
  <c r="G52"/>
  <c r="I98"/>
  <c r="I116" s="1"/>
  <c r="I118" s="1"/>
  <c r="I129" s="1"/>
  <c r="I133" s="1"/>
  <c r="Q116"/>
  <c r="Q118" s="1"/>
  <c r="Q129" s="1"/>
  <c r="Q133" s="1"/>
  <c r="O79"/>
  <c r="M116"/>
  <c r="M118" s="1"/>
  <c r="M129" s="1"/>
  <c r="M133" s="1"/>
  <c r="L98"/>
  <c r="H98"/>
  <c r="G79"/>
  <c r="C127"/>
  <c r="C52"/>
  <c r="X50" i="2"/>
  <c r="AB32"/>
  <c r="X28"/>
  <c r="H11" i="4" s="1"/>
  <c r="AB24" i="2"/>
  <c r="X17"/>
  <c r="AB17" s="1"/>
  <c r="Z8"/>
  <c r="Z17" s="1"/>
  <c r="Z18"/>
  <c r="T38" i="39" s="1"/>
  <c r="T37" l="1"/>
  <c r="S37" s="1"/>
  <c r="G98"/>
  <c r="AC23" i="15"/>
  <c r="E28" i="13" s="1"/>
  <c r="AD23" i="15"/>
  <c r="D28" i="13" s="1"/>
  <c r="BZ13" i="12"/>
  <c r="S38" i="39"/>
  <c r="C19" i="13"/>
  <c r="Z16" i="2"/>
  <c r="V93" i="39"/>
  <c r="V91" s="1"/>
  <c r="AB32" i="15"/>
  <c r="AB33" s="1"/>
  <c r="K98" i="39"/>
  <c r="C98"/>
  <c r="B10" i="36"/>
  <c r="B27"/>
  <c r="G25"/>
  <c r="D25"/>
  <c r="G24"/>
  <c r="D24"/>
  <c r="G23"/>
  <c r="D23"/>
  <c r="G22"/>
  <c r="D22"/>
  <c r="H21"/>
  <c r="H22" s="1"/>
  <c r="H23" s="1"/>
  <c r="H24" s="1"/>
  <c r="H26" s="1"/>
  <c r="H27" s="1"/>
  <c r="H28" s="1"/>
  <c r="H29" s="1"/>
  <c r="H30" s="1"/>
  <c r="H31" s="1"/>
  <c r="H32" s="1"/>
  <c r="H33" s="1"/>
  <c r="H34" s="1"/>
  <c r="H35" s="1"/>
  <c r="H36" s="1"/>
  <c r="G21"/>
  <c r="I21" s="1"/>
  <c r="G8"/>
  <c r="D8"/>
  <c r="G7"/>
  <c r="D7"/>
  <c r="G6"/>
  <c r="D6"/>
  <c r="G5"/>
  <c r="D5"/>
  <c r="G4"/>
  <c r="I4" s="1"/>
  <c r="C18" i="13" l="1"/>
  <c r="AO118" i="35"/>
  <c r="H4" i="13"/>
  <c r="AB29" i="15"/>
  <c r="AB30" s="1"/>
  <c r="T93" i="39"/>
  <c r="S92"/>
  <c r="AB26" i="15" s="1"/>
  <c r="AB27" s="1"/>
  <c r="AE23"/>
  <c r="H4" i="36"/>
  <c r="H5" s="1"/>
  <c r="H6" s="1"/>
  <c r="H7" s="1"/>
  <c r="H9" s="1"/>
  <c r="H10" s="1"/>
  <c r="H11" s="1"/>
  <c r="H12" s="1"/>
  <c r="H13" s="1"/>
  <c r="H14" s="1"/>
  <c r="H15" s="1"/>
  <c r="H16" s="1"/>
  <c r="H17" s="1"/>
  <c r="H18" s="1"/>
  <c r="H19" s="1"/>
  <c r="B28"/>
  <c r="B11"/>
  <c r="I22"/>
  <c r="I23" s="1"/>
  <c r="I24" s="1"/>
  <c r="I25" s="1"/>
  <c r="I26" s="1"/>
  <c r="I5"/>
  <c r="I6" s="1"/>
  <c r="I7" s="1"/>
  <c r="I8" s="1"/>
  <c r="I9" s="1"/>
  <c r="C10"/>
  <c r="C11" s="1"/>
  <c r="C12" s="1"/>
  <c r="C13" s="1"/>
  <c r="C14" s="1"/>
  <c r="C15" s="1"/>
  <c r="C16" s="1"/>
  <c r="C17" s="1"/>
  <c r="C18" s="1"/>
  <c r="C19" s="1"/>
  <c r="T91" i="39" l="1"/>
  <c r="S93"/>
  <c r="I10" i="36"/>
  <c r="B12"/>
  <c r="B29"/>
  <c r="I27"/>
  <c r="S91" i="39" l="1"/>
  <c r="C28" i="13"/>
  <c r="B13" i="36"/>
  <c r="I28"/>
  <c r="B30"/>
  <c r="I11"/>
  <c r="I12" l="1"/>
  <c r="I29"/>
  <c r="B31"/>
  <c r="B14"/>
  <c r="B32" l="1"/>
  <c r="I30"/>
  <c r="I13"/>
  <c r="B15"/>
  <c r="B33" l="1"/>
  <c r="B16"/>
  <c r="I14"/>
  <c r="I31"/>
  <c r="I32" l="1"/>
  <c r="I15"/>
  <c r="B34"/>
  <c r="B17"/>
  <c r="I16" l="1"/>
  <c r="B18"/>
  <c r="I33"/>
  <c r="B35"/>
  <c r="B36" l="1"/>
  <c r="B19"/>
  <c r="I17"/>
  <c r="I34"/>
  <c r="I35" l="1"/>
  <c r="I18"/>
  <c r="I19" l="1"/>
  <c r="I36"/>
  <c r="F19" i="13" l="1"/>
  <c r="F18"/>
  <c r="F33" l="1"/>
  <c r="F31"/>
  <c r="F28"/>
  <c r="F14"/>
  <c r="F13"/>
  <c r="F6"/>
  <c r="Y64" i="35" l="1"/>
  <c r="X64"/>
  <c r="W104"/>
  <c r="W99"/>
  <c r="W93"/>
  <c r="W88"/>
  <c r="W87"/>
  <c r="W81"/>
  <c r="W80"/>
  <c r="W79"/>
  <c r="W76"/>
  <c r="W73"/>
  <c r="W70"/>
  <c r="W66"/>
  <c r="W69"/>
  <c r="Y71"/>
  <c r="X71"/>
  <c r="Y67"/>
  <c r="X67"/>
  <c r="Y97"/>
  <c r="X97"/>
  <c r="Y94"/>
  <c r="X94"/>
  <c r="Y92"/>
  <c r="X92"/>
  <c r="Y85" l="1"/>
  <c r="X85"/>
  <c r="Y63"/>
  <c r="X63"/>
  <c r="Y77"/>
  <c r="X77"/>
  <c r="L102" l="1"/>
  <c r="BM102" l="1"/>
  <c r="BM103"/>
  <c r="BB63"/>
  <c r="AZ63"/>
  <c r="BB64"/>
  <c r="AZ64"/>
  <c r="BB62"/>
  <c r="AZ62"/>
  <c r="Z102"/>
  <c r="Z103"/>
  <c r="S102"/>
  <c r="S103"/>
  <c r="L103"/>
  <c r="D61" i="4" l="1"/>
  <c r="S44" i="35"/>
  <c r="L44"/>
  <c r="U6" i="7" l="1"/>
  <c r="AT126" i="35"/>
  <c r="AU125"/>
  <c r="AU124"/>
  <c r="AU123"/>
  <c r="AU122"/>
  <c r="AU121"/>
  <c r="AU120"/>
  <c r="AU119"/>
  <c r="AU118"/>
  <c r="AU117"/>
  <c r="AU116"/>
  <c r="AU115"/>
  <c r="AU114"/>
  <c r="AU126" l="1"/>
  <c r="BB40"/>
  <c r="AZ40"/>
  <c r="BB14"/>
  <c r="AZ14"/>
  <c r="BB6"/>
  <c r="AZ6"/>
  <c r="BN11"/>
  <c r="BM12"/>
  <c r="BM13"/>
  <c r="BM14"/>
  <c r="BN15"/>
  <c r="BN16"/>
  <c r="BN17"/>
  <c r="BN18"/>
  <c r="BM19"/>
  <c r="BN20"/>
  <c r="BN21"/>
  <c r="BM22"/>
  <c r="BM23"/>
  <c r="BM24"/>
  <c r="BM25"/>
  <c r="BN26"/>
  <c r="BM27"/>
  <c r="BM28"/>
  <c r="BN29"/>
  <c r="BM30"/>
  <c r="BM31"/>
  <c r="BN32"/>
  <c r="BM33"/>
  <c r="BM34"/>
  <c r="BM35"/>
  <c r="BM36"/>
  <c r="BN37"/>
  <c r="BM38"/>
  <c r="BM39"/>
  <c r="BN43"/>
  <c r="BM44"/>
  <c r="BN40"/>
  <c r="BM41"/>
  <c r="BM45"/>
  <c r="BM46"/>
  <c r="BM47"/>
  <c r="BM48"/>
  <c r="BM49"/>
  <c r="BM50"/>
  <c r="BM51"/>
  <c r="BM52"/>
  <c r="BM53"/>
  <c r="BM54"/>
  <c r="BM55"/>
  <c r="BM56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3"/>
  <c r="Z44"/>
  <c r="Z40"/>
  <c r="Z41"/>
  <c r="Z45"/>
  <c r="Z46"/>
  <c r="Z47"/>
  <c r="Z48"/>
  <c r="Z49"/>
  <c r="Z50"/>
  <c r="Z51"/>
  <c r="Z52"/>
  <c r="Z53"/>
  <c r="Z54"/>
  <c r="Z55"/>
  <c r="Z56"/>
  <c r="Z57"/>
  <c r="Z113" s="1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3"/>
  <c r="S40"/>
  <c r="S41"/>
  <c r="S45"/>
  <c r="S46"/>
  <c r="S47"/>
  <c r="S48"/>
  <c r="S49"/>
  <c r="S50"/>
  <c r="S51"/>
  <c r="S52"/>
  <c r="S53"/>
  <c r="S54"/>
  <c r="S55"/>
  <c r="S56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0"/>
  <c r="L41"/>
  <c r="L45"/>
  <c r="L46"/>
  <c r="L47"/>
  <c r="L48"/>
  <c r="L49"/>
  <c r="L50"/>
  <c r="L51"/>
  <c r="L52"/>
  <c r="L53"/>
  <c r="L54"/>
  <c r="L55"/>
  <c r="L56"/>
  <c r="L57"/>
  <c r="L113" s="1"/>
  <c r="AS61" l="1"/>
  <c r="AR60"/>
  <c r="AT58"/>
  <c r="AS59"/>
  <c r="AT59"/>
  <c r="AT61"/>
  <c r="AS60"/>
  <c r="AR59"/>
  <c r="AT60"/>
  <c r="AR58"/>
  <c r="AR61"/>
  <c r="AS58"/>
  <c r="AT101"/>
  <c r="AS101"/>
  <c r="AT100"/>
  <c r="AR101"/>
  <c r="AS100"/>
  <c r="AR100"/>
  <c r="AR106"/>
  <c r="AT106"/>
  <c r="AS106"/>
  <c r="AS86"/>
  <c r="AR89"/>
  <c r="AT82"/>
  <c r="AS66"/>
  <c r="AT102"/>
  <c r="AS94"/>
  <c r="AR93"/>
  <c r="AT86"/>
  <c r="AT76"/>
  <c r="AS75"/>
  <c r="AS70"/>
  <c r="AS63"/>
  <c r="AR96"/>
  <c r="AT87"/>
  <c r="AS81"/>
  <c r="AR64"/>
  <c r="AR103"/>
  <c r="AT94"/>
  <c r="AS93"/>
  <c r="AR91"/>
  <c r="AT79"/>
  <c r="AS78"/>
  <c r="AR77"/>
  <c r="AT75"/>
  <c r="AS74"/>
  <c r="AR73"/>
  <c r="AT70"/>
  <c r="AS69"/>
  <c r="AR68"/>
  <c r="AT63"/>
  <c r="AS104"/>
  <c r="AR99"/>
  <c r="AT97"/>
  <c r="AS96"/>
  <c r="AR95"/>
  <c r="AT90"/>
  <c r="AS89"/>
  <c r="AR88"/>
  <c r="AT85"/>
  <c r="AS84"/>
  <c r="AR83"/>
  <c r="AT81"/>
  <c r="AS80"/>
  <c r="AR71"/>
  <c r="AT66"/>
  <c r="AS64"/>
  <c r="AR62"/>
  <c r="AT103"/>
  <c r="AR94"/>
  <c r="AR79"/>
  <c r="AS76"/>
  <c r="AT73"/>
  <c r="AR70"/>
  <c r="AS65"/>
  <c r="AT99"/>
  <c r="AR97"/>
  <c r="AS92"/>
  <c r="AT88"/>
  <c r="AR85"/>
  <c r="AS82"/>
  <c r="AT71"/>
  <c r="AR66"/>
  <c r="AS79"/>
  <c r="AR74"/>
  <c r="AT65"/>
  <c r="AT98"/>
  <c r="AS97"/>
  <c r="AS90"/>
  <c r="AR84"/>
  <c r="AR80"/>
  <c r="AS103"/>
  <c r="AR102"/>
  <c r="AT93"/>
  <c r="AS91"/>
  <c r="AR86"/>
  <c r="AT78"/>
  <c r="AS77"/>
  <c r="AR76"/>
  <c r="AT74"/>
  <c r="AS73"/>
  <c r="AR72"/>
  <c r="AT69"/>
  <c r="AS68"/>
  <c r="AR65"/>
  <c r="AT104"/>
  <c r="AS99"/>
  <c r="AR98"/>
  <c r="AT96"/>
  <c r="AS95"/>
  <c r="AR92"/>
  <c r="AT89"/>
  <c r="AS88"/>
  <c r="AR87"/>
  <c r="AT84"/>
  <c r="AS83"/>
  <c r="AR82"/>
  <c r="AT80"/>
  <c r="AS71"/>
  <c r="AR67"/>
  <c r="AT64"/>
  <c r="AS62"/>
  <c r="AS102"/>
  <c r="AT91"/>
  <c r="AT77"/>
  <c r="AR75"/>
  <c r="AS72"/>
  <c r="AT68"/>
  <c r="AR63"/>
  <c r="AS98"/>
  <c r="AT95"/>
  <c r="AR90"/>
  <c r="AS87"/>
  <c r="AT83"/>
  <c r="AR81"/>
  <c r="AS67"/>
  <c r="AT62"/>
  <c r="AR78"/>
  <c r="AT72"/>
  <c r="AR69"/>
  <c r="AR104"/>
  <c r="AT92"/>
  <c r="AS85"/>
  <c r="AT67"/>
  <c r="AS7"/>
  <c r="AT8"/>
  <c r="AR10"/>
  <c r="AS11"/>
  <c r="AT12"/>
  <c r="AR14"/>
  <c r="AS15"/>
  <c r="AT16"/>
  <c r="AR18"/>
  <c r="AS19"/>
  <c r="AT20"/>
  <c r="AR22"/>
  <c r="AS23"/>
  <c r="AT24"/>
  <c r="AR26"/>
  <c r="AS27"/>
  <c r="AT28"/>
  <c r="AR30"/>
  <c r="AS31"/>
  <c r="AT32"/>
  <c r="AR34"/>
  <c r="AS35"/>
  <c r="AT36"/>
  <c r="AR38"/>
  <c r="AS39"/>
  <c r="AT40"/>
  <c r="AR42"/>
  <c r="AS43"/>
  <c r="AT44"/>
  <c r="AR46"/>
  <c r="AS47"/>
  <c r="AT48"/>
  <c r="AR50"/>
  <c r="AS51"/>
  <c r="AT52"/>
  <c r="AR54"/>
  <c r="AS55"/>
  <c r="AT56"/>
  <c r="AT6"/>
  <c r="AS14"/>
  <c r="AS22"/>
  <c r="AS30"/>
  <c r="AR37"/>
  <c r="AT43"/>
  <c r="AS50"/>
  <c r="AT55"/>
  <c r="AR7"/>
  <c r="AS8"/>
  <c r="AT9"/>
  <c r="AR11"/>
  <c r="AS12"/>
  <c r="AT13"/>
  <c r="AR15"/>
  <c r="AS16"/>
  <c r="AT17"/>
  <c r="AR19"/>
  <c r="AS20"/>
  <c r="AT21"/>
  <c r="AR23"/>
  <c r="AS24"/>
  <c r="AT25"/>
  <c r="AR27"/>
  <c r="AS28"/>
  <c r="AT29"/>
  <c r="AR31"/>
  <c r="AS32"/>
  <c r="AT33"/>
  <c r="AR35"/>
  <c r="AS36"/>
  <c r="AT37"/>
  <c r="AR39"/>
  <c r="AS40"/>
  <c r="AT41"/>
  <c r="AR43"/>
  <c r="AS44"/>
  <c r="AT45"/>
  <c r="AR47"/>
  <c r="AS48"/>
  <c r="AT49"/>
  <c r="AR51"/>
  <c r="AS52"/>
  <c r="AT53"/>
  <c r="AR55"/>
  <c r="AS56"/>
  <c r="AT57"/>
  <c r="AT7"/>
  <c r="AS10"/>
  <c r="AR13"/>
  <c r="AR17"/>
  <c r="AT19"/>
  <c r="AT23"/>
  <c r="AS26"/>
  <c r="AR29"/>
  <c r="AR33"/>
  <c r="AT35"/>
  <c r="AT39"/>
  <c r="AS42"/>
  <c r="AS46"/>
  <c r="AR49"/>
  <c r="AR53"/>
  <c r="AR57"/>
  <c r="AR8"/>
  <c r="AS9"/>
  <c r="AT10"/>
  <c r="AR12"/>
  <c r="AS13"/>
  <c r="AT14"/>
  <c r="AR16"/>
  <c r="AS17"/>
  <c r="AT18"/>
  <c r="AR20"/>
  <c r="AS21"/>
  <c r="AT22"/>
  <c r="AR24"/>
  <c r="AS25"/>
  <c r="AT26"/>
  <c r="AR28"/>
  <c r="AS29"/>
  <c r="AT30"/>
  <c r="AR32"/>
  <c r="AS33"/>
  <c r="AT34"/>
  <c r="AR36"/>
  <c r="AS37"/>
  <c r="AT38"/>
  <c r="AR40"/>
  <c r="AS41"/>
  <c r="AT42"/>
  <c r="AR44"/>
  <c r="AS45"/>
  <c r="AT46"/>
  <c r="AR48"/>
  <c r="AS49"/>
  <c r="AT50"/>
  <c r="AR52"/>
  <c r="AS53"/>
  <c r="AT54"/>
  <c r="AR56"/>
  <c r="AS57"/>
  <c r="AR6"/>
  <c r="AR9"/>
  <c r="AT11"/>
  <c r="AT15"/>
  <c r="AS18"/>
  <c r="AR21"/>
  <c r="AR25"/>
  <c r="AT27"/>
  <c r="AT31"/>
  <c r="AS34"/>
  <c r="AS38"/>
  <c r="AR41"/>
  <c r="AR45"/>
  <c r="AT47"/>
  <c r="AT51"/>
  <c r="AS54"/>
  <c r="AS6"/>
  <c r="BM8"/>
  <c r="BM9"/>
  <c r="BN10"/>
  <c r="BM57"/>
  <c r="BM42"/>
  <c r="BM62"/>
  <c r="BN63"/>
  <c r="BM64"/>
  <c r="BN65"/>
  <c r="BM66"/>
  <c r="BM67"/>
  <c r="BN68"/>
  <c r="BN69"/>
  <c r="BN70"/>
  <c r="BM71"/>
  <c r="BN72"/>
  <c r="BN74"/>
  <c r="BN75"/>
  <c r="BN76"/>
  <c r="BN77"/>
  <c r="BN78"/>
  <c r="BN79"/>
  <c r="BM80"/>
  <c r="BM81"/>
  <c r="BM82"/>
  <c r="BM83"/>
  <c r="BM84"/>
  <c r="BM85"/>
  <c r="BN86"/>
  <c r="BM87"/>
  <c r="BM88"/>
  <c r="BM89"/>
  <c r="BM90"/>
  <c r="BN91"/>
  <c r="BM92"/>
  <c r="BN93"/>
  <c r="BN94"/>
  <c r="BM95"/>
  <c r="BM96"/>
  <c r="BM97"/>
  <c r="Z8"/>
  <c r="Z9"/>
  <c r="Z10"/>
  <c r="Z11"/>
  <c r="Z42"/>
  <c r="Z62"/>
  <c r="Z63"/>
  <c r="Z64"/>
  <c r="Z65"/>
  <c r="Z66"/>
  <c r="Z67"/>
  <c r="Z68"/>
  <c r="Z69"/>
  <c r="Z70"/>
  <c r="Z71"/>
  <c r="Z72"/>
  <c r="Z73"/>
  <c r="Z112" s="1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S57"/>
  <c r="S113" s="1"/>
  <c r="S42"/>
  <c r="S62"/>
  <c r="S63"/>
  <c r="S64"/>
  <c r="S65"/>
  <c r="S66"/>
  <c r="S67"/>
  <c r="S68"/>
  <c r="S69"/>
  <c r="S70"/>
  <c r="S71"/>
  <c r="S72"/>
  <c r="S73"/>
  <c r="S112" s="1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L8"/>
  <c r="L9"/>
  <c r="L42"/>
  <c r="L62"/>
  <c r="L63"/>
  <c r="L64"/>
  <c r="L65"/>
  <c r="L66"/>
  <c r="L67"/>
  <c r="L68"/>
  <c r="L69"/>
  <c r="L70"/>
  <c r="L71"/>
  <c r="L72"/>
  <c r="L73"/>
  <c r="L112" s="1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BM104"/>
  <c r="BM7"/>
  <c r="Z97"/>
  <c r="S97"/>
  <c r="S96"/>
  <c r="S95"/>
  <c r="S94"/>
  <c r="Z7"/>
  <c r="L7"/>
  <c r="BN6"/>
  <c r="Z6"/>
  <c r="S6"/>
  <c r="L6"/>
  <c r="AC109" l="1"/>
  <c r="AB109"/>
  <c r="AA109"/>
  <c r="W109"/>
  <c r="V109"/>
  <c r="U109"/>
  <c r="T109"/>
  <c r="P109"/>
  <c r="O109"/>
  <c r="N109"/>
  <c r="M109"/>
  <c r="K109"/>
  <c r="J109"/>
  <c r="I109"/>
  <c r="BM108"/>
  <c r="Z108"/>
  <c r="S108"/>
  <c r="L108"/>
  <c r="Z107"/>
  <c r="S107"/>
  <c r="L107"/>
  <c r="Z106"/>
  <c r="S106"/>
  <c r="L106"/>
  <c r="Z104"/>
  <c r="S104"/>
  <c r="L104"/>
  <c r="BM99"/>
  <c r="Y109"/>
  <c r="X109"/>
  <c r="S99"/>
  <c r="R109"/>
  <c r="Q109"/>
  <c r="BM98"/>
  <c r="Z98"/>
  <c r="S98"/>
  <c r="S109" l="1"/>
  <c r="S111" s="1"/>
  <c r="L109"/>
  <c r="L111" s="1"/>
  <c r="Z99"/>
  <c r="U112" l="1"/>
  <c r="S115"/>
  <c r="U113"/>
  <c r="N113"/>
  <c r="N112"/>
  <c r="L115"/>
  <c r="AN108"/>
  <c r="BL108" s="1"/>
  <c r="BN108" s="1"/>
  <c r="Z109"/>
  <c r="Z111" s="1"/>
  <c r="D97" i="4" l="1"/>
  <c r="D100" s="1"/>
  <c r="E97"/>
  <c r="E100" s="1"/>
  <c r="AB113" i="35"/>
  <c r="Z115"/>
  <c r="AB112"/>
  <c r="BN107"/>
  <c r="BM106"/>
  <c r="F97" i="4" l="1"/>
  <c r="F100" s="1"/>
  <c r="F179" i="14"/>
  <c r="F177"/>
  <c r="F171"/>
  <c r="F159"/>
  <c r="F127"/>
  <c r="F126"/>
  <c r="G128" s="1"/>
  <c r="F109"/>
  <c r="G112" s="1"/>
  <c r="F103"/>
  <c r="G106" s="1"/>
  <c r="F99"/>
  <c r="G100" s="1"/>
  <c r="F95"/>
  <c r="G96" s="1"/>
  <c r="F87"/>
  <c r="G88" s="1"/>
  <c r="F86"/>
  <c r="F35"/>
  <c r="G38" s="1"/>
  <c r="F29"/>
  <c r="G32" s="1"/>
  <c r="F23"/>
  <c r="F22"/>
  <c r="F17"/>
  <c r="F16"/>
  <c r="G20" s="1"/>
  <c r="F11"/>
  <c r="F10"/>
  <c r="G14" s="1"/>
  <c r="F5"/>
  <c r="G8" s="1"/>
  <c r="U19" i="15"/>
  <c r="AF19" s="1"/>
  <c r="U18"/>
  <c r="AF18" s="1"/>
  <c r="U17"/>
  <c r="U14"/>
  <c r="AF14" s="1"/>
  <c r="U13"/>
  <c r="AF13" s="1"/>
  <c r="U12"/>
  <c r="AA16" s="1"/>
  <c r="U9"/>
  <c r="AF9" s="1"/>
  <c r="U8"/>
  <c r="AF8" s="1"/>
  <c r="U7"/>
  <c r="G26" i="14" l="1"/>
  <c r="G207" s="1"/>
  <c r="G205"/>
  <c r="G210" s="1"/>
  <c r="V44" i="39" s="1"/>
  <c r="AA21" i="15"/>
  <c r="AA24" s="1"/>
  <c r="AA11"/>
  <c r="AA23" s="1"/>
  <c r="H103" i="4" s="1"/>
  <c r="G109"/>
  <c r="F109"/>
  <c r="E109"/>
  <c r="D109"/>
  <c r="G108"/>
  <c r="F108"/>
  <c r="E108"/>
  <c r="D108"/>
  <c r="G107"/>
  <c r="G106"/>
  <c r="H106" s="1"/>
  <c r="H107" s="1"/>
  <c r="G120" i="34"/>
  <c r="G156" s="1"/>
  <c r="G87"/>
  <c r="G62"/>
  <c r="G24"/>
  <c r="BC52" i="12"/>
  <c r="BC48"/>
  <c r="CG19" l="1"/>
  <c r="T102" i="39" s="1"/>
  <c r="BZ19" i="12"/>
  <c r="CH20"/>
  <c r="V100" i="39" s="1"/>
  <c r="CB17" i="12"/>
  <c r="G208" i="14"/>
  <c r="AA22" i="15"/>
  <c r="P37" i="2"/>
  <c r="V105" i="39" l="1"/>
  <c r="CH17" i="12"/>
  <c r="S102" i="39"/>
  <c r="CF19" i="12"/>
  <c r="G218" i="14"/>
  <c r="G219" s="1"/>
  <c r="G209"/>
  <c r="T44" i="39" s="1"/>
  <c r="S34" i="2"/>
  <c r="Q49"/>
  <c r="V49" s="1"/>
  <c r="Z49" s="1"/>
  <c r="Q48"/>
  <c r="V48" s="1"/>
  <c r="Z48" s="1"/>
  <c r="Q47"/>
  <c r="V47" s="1"/>
  <c r="Z47" s="1"/>
  <c r="Q46"/>
  <c r="V46" s="1"/>
  <c r="Z46" s="1"/>
  <c r="Q45"/>
  <c r="V45" s="1"/>
  <c r="Z45" s="1"/>
  <c r="X34" l="1"/>
  <c r="AA34"/>
  <c r="Z50"/>
  <c r="J209" i="14"/>
  <c r="I209"/>
  <c r="D50" i="4"/>
  <c r="E61"/>
  <c r="F61"/>
  <c r="G61"/>
  <c r="C26" i="36" l="1"/>
  <c r="C27" s="1"/>
  <c r="C28" s="1"/>
  <c r="C29" s="1"/>
  <c r="C30" s="1"/>
  <c r="C31" s="1"/>
  <c r="C32" s="1"/>
  <c r="C33" s="1"/>
  <c r="C34" s="1"/>
  <c r="C35" s="1"/>
  <c r="C36" s="1"/>
  <c r="X36" i="2"/>
  <c r="AB34"/>
  <c r="V11" i="39"/>
  <c r="V50" i="2"/>
  <c r="U293" i="7"/>
  <c r="X295" s="1"/>
  <c r="U588"/>
  <c r="X590" s="1"/>
  <c r="U887"/>
  <c r="X889" s="1"/>
  <c r="AH119" i="35"/>
  <c r="AN119" s="1"/>
  <c r="H62" i="4"/>
  <c r="G215" i="14"/>
  <c r="G216" s="1"/>
  <c r="C27" i="13"/>
  <c r="S44" i="39"/>
  <c r="G212" i="14" s="1"/>
  <c r="G213" s="1"/>
  <c r="E62" i="4"/>
  <c r="F62"/>
  <c r="G62"/>
  <c r="AA14" i="2"/>
  <c r="AA11"/>
  <c r="M61" i="4" l="1"/>
  <c r="M62" s="1"/>
  <c r="V19" i="39"/>
  <c r="V29" s="1"/>
  <c r="S11"/>
  <c r="AE1191" i="7"/>
  <c r="AG1191" s="1"/>
  <c r="AP119" i="35"/>
  <c r="AM101" l="1"/>
  <c r="AL100"/>
  <c r="AL101"/>
  <c r="AM100"/>
  <c r="AM106"/>
  <c r="AL106"/>
  <c r="AM103"/>
  <c r="AM97"/>
  <c r="AM95"/>
  <c r="AM85"/>
  <c r="AM67"/>
  <c r="AK89"/>
  <c r="AN89" s="1"/>
  <c r="BL89" s="1"/>
  <c r="BN89" s="1"/>
  <c r="AK83"/>
  <c r="AN83" s="1"/>
  <c r="BL83" s="1"/>
  <c r="BN83" s="1"/>
  <c r="AK73"/>
  <c r="AL57"/>
  <c r="AL55"/>
  <c r="AL53"/>
  <c r="AL51"/>
  <c r="AL49"/>
  <c r="AL45"/>
  <c r="AL42"/>
  <c r="AL36"/>
  <c r="AL34"/>
  <c r="AL31"/>
  <c r="AL28"/>
  <c r="AL25"/>
  <c r="AL23"/>
  <c r="AL19"/>
  <c r="AL13"/>
  <c r="AL9"/>
  <c r="AL7"/>
  <c r="AL102"/>
  <c r="AL96"/>
  <c r="AL92"/>
  <c r="AL71"/>
  <c r="AL64"/>
  <c r="AK90"/>
  <c r="AN90" s="1"/>
  <c r="BL90" s="1"/>
  <c r="BN90" s="1"/>
  <c r="AK84"/>
  <c r="AK80"/>
  <c r="AM57"/>
  <c r="AM55"/>
  <c r="AM53"/>
  <c r="AM51"/>
  <c r="AM49"/>
  <c r="AM47"/>
  <c r="AM45"/>
  <c r="AM42"/>
  <c r="AM36"/>
  <c r="AM34"/>
  <c r="AM31"/>
  <c r="AM28"/>
  <c r="AM25"/>
  <c r="AM23"/>
  <c r="AM19"/>
  <c r="AM13"/>
  <c r="AM9"/>
  <c r="AM7"/>
  <c r="AM71"/>
  <c r="AL48"/>
  <c r="AL41"/>
  <c r="AL35"/>
  <c r="AL30"/>
  <c r="AL22"/>
  <c r="AL12"/>
  <c r="AL8"/>
  <c r="AM102"/>
  <c r="AM96"/>
  <c r="AM92"/>
  <c r="AM64"/>
  <c r="AK98"/>
  <c r="AK87"/>
  <c r="AN87" s="1"/>
  <c r="BL87" s="1"/>
  <c r="BN87" s="1"/>
  <c r="AK81"/>
  <c r="AN81" s="1"/>
  <c r="BL81" s="1"/>
  <c r="BN81" s="1"/>
  <c r="AK62"/>
  <c r="AL56"/>
  <c r="AL60" s="1"/>
  <c r="AL54"/>
  <c r="AL52"/>
  <c r="AL50"/>
  <c r="AL46"/>
  <c r="AL44"/>
  <c r="AL38"/>
  <c r="AL33"/>
  <c r="AL27"/>
  <c r="AL24"/>
  <c r="AL14"/>
  <c r="AL103"/>
  <c r="AL97"/>
  <c r="AL95"/>
  <c r="AL85"/>
  <c r="AL67"/>
  <c r="AK99"/>
  <c r="AN99" s="1"/>
  <c r="BL99" s="1"/>
  <c r="BN99" s="1"/>
  <c r="AK88"/>
  <c r="AN88" s="1"/>
  <c r="BL88" s="1"/>
  <c r="BN88" s="1"/>
  <c r="AK82"/>
  <c r="AN82" s="1"/>
  <c r="BL82" s="1"/>
  <c r="BN82" s="1"/>
  <c r="AK66"/>
  <c r="AN66" s="1"/>
  <c r="BL66" s="1"/>
  <c r="BN66" s="1"/>
  <c r="AM56"/>
  <c r="AM60" s="1"/>
  <c r="AM54"/>
  <c r="AM52"/>
  <c r="AM50"/>
  <c r="AM48"/>
  <c r="AM46"/>
  <c r="AM44"/>
  <c r="AM41"/>
  <c r="AM38"/>
  <c r="AM35"/>
  <c r="AM33"/>
  <c r="AM30"/>
  <c r="AM27"/>
  <c r="AM24"/>
  <c r="AM22"/>
  <c r="AM14"/>
  <c r="AM12"/>
  <c r="AM8"/>
  <c r="AK104"/>
  <c r="AN104" s="1"/>
  <c r="BL104" s="1"/>
  <c r="BN104" s="1"/>
  <c r="AL47"/>
  <c r="AN84"/>
  <c r="BL84" s="1"/>
  <c r="BN84" s="1"/>
  <c r="AN80"/>
  <c r="BL80" s="1"/>
  <c r="BN80" s="1"/>
  <c r="BC28" i="12"/>
  <c r="BC24" s="1"/>
  <c r="BF16"/>
  <c r="P1049" i="7"/>
  <c r="O1049"/>
  <c r="N1049"/>
  <c r="H1049"/>
  <c r="P1048"/>
  <c r="O1048"/>
  <c r="N1048"/>
  <c r="H1048"/>
  <c r="P1047"/>
  <c r="O1047"/>
  <c r="N1047"/>
  <c r="H1047"/>
  <c r="I1349" s="1"/>
  <c r="P1046"/>
  <c r="O1046"/>
  <c r="N1046"/>
  <c r="H1046"/>
  <c r="P1045"/>
  <c r="O1045"/>
  <c r="N1045"/>
  <c r="H1045"/>
  <c r="P1044"/>
  <c r="O1044"/>
  <c r="N1044"/>
  <c r="H1044"/>
  <c r="P1043"/>
  <c r="O1043"/>
  <c r="N1043"/>
  <c r="H1043"/>
  <c r="P1042"/>
  <c r="O1042"/>
  <c r="N1042"/>
  <c r="H1042"/>
  <c r="I1344" s="1"/>
  <c r="P1041"/>
  <c r="O1041"/>
  <c r="N1041"/>
  <c r="H1041"/>
  <c r="P1040"/>
  <c r="O1040"/>
  <c r="N1040"/>
  <c r="H1040"/>
  <c r="P1039"/>
  <c r="O1039"/>
  <c r="N1039"/>
  <c r="H1039"/>
  <c r="I1341" s="1"/>
  <c r="P1038"/>
  <c r="O1038"/>
  <c r="N1038"/>
  <c r="H1038"/>
  <c r="P1037"/>
  <c r="O1037"/>
  <c r="N1037"/>
  <c r="H1037"/>
  <c r="P1036"/>
  <c r="O1036"/>
  <c r="N1036"/>
  <c r="H1036"/>
  <c r="P1035"/>
  <c r="O1035"/>
  <c r="N1035"/>
  <c r="H1035"/>
  <c r="P1034"/>
  <c r="O1034"/>
  <c r="N1034"/>
  <c r="H1034"/>
  <c r="P1033"/>
  <c r="O1033"/>
  <c r="N1033"/>
  <c r="H1033"/>
  <c r="P1032"/>
  <c r="O1032"/>
  <c r="N1032"/>
  <c r="H1032"/>
  <c r="P1031"/>
  <c r="O1031"/>
  <c r="N1031"/>
  <c r="H1031"/>
  <c r="P1030"/>
  <c r="O1030"/>
  <c r="N1030"/>
  <c r="H1030"/>
  <c r="P1029"/>
  <c r="O1029"/>
  <c r="N1029"/>
  <c r="H1029"/>
  <c r="P1028"/>
  <c r="O1028"/>
  <c r="N1028"/>
  <c r="H1028"/>
  <c r="P1027"/>
  <c r="O1027"/>
  <c r="N1027"/>
  <c r="H1027"/>
  <c r="P1026"/>
  <c r="O1026"/>
  <c r="N1026"/>
  <c r="H1026"/>
  <c r="P1025"/>
  <c r="O1025"/>
  <c r="N1025"/>
  <c r="H1025"/>
  <c r="P1024"/>
  <c r="O1024"/>
  <c r="N1024"/>
  <c r="H1024"/>
  <c r="P1023"/>
  <c r="O1023"/>
  <c r="N1023"/>
  <c r="H1023"/>
  <c r="I1325" s="1"/>
  <c r="P1022"/>
  <c r="O1022"/>
  <c r="N1022"/>
  <c r="H1022"/>
  <c r="I1324" s="1"/>
  <c r="P1021"/>
  <c r="O1021"/>
  <c r="N1021"/>
  <c r="H1021"/>
  <c r="I1323" s="1"/>
  <c r="P1020"/>
  <c r="O1020"/>
  <c r="N1020"/>
  <c r="H1020"/>
  <c r="I1322" s="1"/>
  <c r="O1017"/>
  <c r="M1017" s="1"/>
  <c r="H1017"/>
  <c r="O1016"/>
  <c r="M1016" s="1"/>
  <c r="H1016"/>
  <c r="I1318" s="1"/>
  <c r="H1318" s="1"/>
  <c r="P1015"/>
  <c r="O1015"/>
  <c r="N1015"/>
  <c r="H1015"/>
  <c r="P1014"/>
  <c r="O1014"/>
  <c r="N1014"/>
  <c r="H1014"/>
  <c r="P1013"/>
  <c r="O1013"/>
  <c r="N1013"/>
  <c r="H1013"/>
  <c r="P1012"/>
  <c r="O1012"/>
  <c r="N1012"/>
  <c r="H1012"/>
  <c r="P1011"/>
  <c r="O1011"/>
  <c r="N1011"/>
  <c r="H1011"/>
  <c r="P1010"/>
  <c r="O1010"/>
  <c r="N1010"/>
  <c r="H1010"/>
  <c r="P1009"/>
  <c r="O1009"/>
  <c r="N1009"/>
  <c r="H1009"/>
  <c r="P1008"/>
  <c r="O1008"/>
  <c r="N1008"/>
  <c r="H1008"/>
  <c r="P1007"/>
  <c r="O1007"/>
  <c r="N1007"/>
  <c r="H1007"/>
  <c r="I1309" s="1"/>
  <c r="P1006"/>
  <c r="O1006"/>
  <c r="N1006"/>
  <c r="H1006"/>
  <c r="P1005"/>
  <c r="O1005"/>
  <c r="N1005"/>
  <c r="H1005"/>
  <c r="P1004"/>
  <c r="O1004"/>
  <c r="N1004"/>
  <c r="H1004"/>
  <c r="P1003"/>
  <c r="O1003"/>
  <c r="N1003"/>
  <c r="H1003"/>
  <c r="P1002"/>
  <c r="O1002"/>
  <c r="N1002"/>
  <c r="H1002"/>
  <c r="I1304" s="1"/>
  <c r="P1001"/>
  <c r="O1001"/>
  <c r="N1001"/>
  <c r="H1001"/>
  <c r="P1000"/>
  <c r="O1000"/>
  <c r="N1000"/>
  <c r="H1000"/>
  <c r="P999"/>
  <c r="O999"/>
  <c r="N999"/>
  <c r="H999"/>
  <c r="I1301" s="1"/>
  <c r="P998"/>
  <c r="O998"/>
  <c r="N998"/>
  <c r="H998"/>
  <c r="P997"/>
  <c r="O997"/>
  <c r="N997"/>
  <c r="H997"/>
  <c r="P996"/>
  <c r="O996"/>
  <c r="N996"/>
  <c r="H996"/>
  <c r="P995"/>
  <c r="O995"/>
  <c r="N995"/>
  <c r="H995"/>
  <c r="P994"/>
  <c r="O994"/>
  <c r="N994"/>
  <c r="H994"/>
  <c r="P993"/>
  <c r="O993"/>
  <c r="N993"/>
  <c r="H993"/>
  <c r="I1295" s="1"/>
  <c r="P992"/>
  <c r="O992"/>
  <c r="N992"/>
  <c r="H992"/>
  <c r="P991"/>
  <c r="O991"/>
  <c r="N991"/>
  <c r="H991"/>
  <c r="P990"/>
  <c r="O990"/>
  <c r="N990"/>
  <c r="H990"/>
  <c r="P989"/>
  <c r="O989"/>
  <c r="N989"/>
  <c r="H989"/>
  <c r="P988"/>
  <c r="O988"/>
  <c r="N988"/>
  <c r="H988"/>
  <c r="P987"/>
  <c r="O987"/>
  <c r="N987"/>
  <c r="H987"/>
  <c r="P986"/>
  <c r="O986"/>
  <c r="N986"/>
  <c r="H986"/>
  <c r="P985"/>
  <c r="O985"/>
  <c r="N985"/>
  <c r="H985"/>
  <c r="P984"/>
  <c r="O984"/>
  <c r="N984"/>
  <c r="H984"/>
  <c r="P983"/>
  <c r="O983"/>
  <c r="N983"/>
  <c r="H983"/>
  <c r="I1285" s="1"/>
  <c r="P982"/>
  <c r="O982"/>
  <c r="N982"/>
  <c r="H982"/>
  <c r="I1284" s="1"/>
  <c r="P981"/>
  <c r="O981"/>
  <c r="N981"/>
  <c r="H981"/>
  <c r="I1283" s="1"/>
  <c r="P980"/>
  <c r="O980"/>
  <c r="N980"/>
  <c r="H980"/>
  <c r="I1282" s="1"/>
  <c r="O977"/>
  <c r="M977" s="1"/>
  <c r="H977"/>
  <c r="I1279" s="1"/>
  <c r="H1279" s="1"/>
  <c r="O976"/>
  <c r="M976" s="1"/>
  <c r="H976"/>
  <c r="I1278" s="1"/>
  <c r="H1278" s="1"/>
  <c r="P975"/>
  <c r="O975"/>
  <c r="N975"/>
  <c r="H975"/>
  <c r="I1277" s="1"/>
  <c r="P974"/>
  <c r="O974"/>
  <c r="N974"/>
  <c r="H974"/>
  <c r="P973"/>
  <c r="O973"/>
  <c r="N973"/>
  <c r="H973"/>
  <c r="P972"/>
  <c r="O972"/>
  <c r="N972"/>
  <c r="H972"/>
  <c r="I1274" s="1"/>
  <c r="P971"/>
  <c r="O971"/>
  <c r="N971"/>
  <c r="H971"/>
  <c r="P970"/>
  <c r="O970"/>
  <c r="N970"/>
  <c r="H970"/>
  <c r="P969"/>
  <c r="O969"/>
  <c r="N969"/>
  <c r="H969"/>
  <c r="P968"/>
  <c r="O968"/>
  <c r="N968"/>
  <c r="H968"/>
  <c r="P967"/>
  <c r="O967"/>
  <c r="N967"/>
  <c r="H967"/>
  <c r="I1269" s="1"/>
  <c r="P966"/>
  <c r="O966"/>
  <c r="N966"/>
  <c r="H966"/>
  <c r="P965"/>
  <c r="O965"/>
  <c r="N965"/>
  <c r="H965"/>
  <c r="P964"/>
  <c r="O964"/>
  <c r="N964"/>
  <c r="H964"/>
  <c r="P963"/>
  <c r="O963"/>
  <c r="N963"/>
  <c r="H963"/>
  <c r="P962"/>
  <c r="O962"/>
  <c r="N962"/>
  <c r="H962"/>
  <c r="I1264" s="1"/>
  <c r="P961"/>
  <c r="O961"/>
  <c r="N961"/>
  <c r="H961"/>
  <c r="P960"/>
  <c r="O960"/>
  <c r="N960"/>
  <c r="H960"/>
  <c r="P959"/>
  <c r="O959"/>
  <c r="N959"/>
  <c r="H959"/>
  <c r="I1261" s="1"/>
  <c r="P958"/>
  <c r="O958"/>
  <c r="N958"/>
  <c r="H958"/>
  <c r="P957"/>
  <c r="O957"/>
  <c r="N957"/>
  <c r="H957"/>
  <c r="P956"/>
  <c r="O956"/>
  <c r="N956"/>
  <c r="H956"/>
  <c r="I1258" s="1"/>
  <c r="P955"/>
  <c r="O955"/>
  <c r="N955"/>
  <c r="H955"/>
  <c r="P954"/>
  <c r="O954"/>
  <c r="N954"/>
  <c r="H954"/>
  <c r="P953"/>
  <c r="O953"/>
  <c r="N953"/>
  <c r="H953"/>
  <c r="I1255" s="1"/>
  <c r="P952"/>
  <c r="O952"/>
  <c r="N952"/>
  <c r="H952"/>
  <c r="P951"/>
  <c r="O951"/>
  <c r="N951"/>
  <c r="H951"/>
  <c r="P950"/>
  <c r="O950"/>
  <c r="N950"/>
  <c r="H950"/>
  <c r="I1252" s="1"/>
  <c r="P949"/>
  <c r="O949"/>
  <c r="N949"/>
  <c r="H949"/>
  <c r="P948"/>
  <c r="O948"/>
  <c r="N948"/>
  <c r="H948"/>
  <c r="P947"/>
  <c r="O947"/>
  <c r="N947"/>
  <c r="H947"/>
  <c r="P946"/>
  <c r="O946"/>
  <c r="N946"/>
  <c r="H946"/>
  <c r="P945"/>
  <c r="O945"/>
  <c r="N945"/>
  <c r="H945"/>
  <c r="P944"/>
  <c r="O944"/>
  <c r="N944"/>
  <c r="H944"/>
  <c r="P943"/>
  <c r="O943"/>
  <c r="N943"/>
  <c r="H943"/>
  <c r="I1245" s="1"/>
  <c r="P942"/>
  <c r="O942"/>
  <c r="N942"/>
  <c r="H942"/>
  <c r="I1244" s="1"/>
  <c r="P941"/>
  <c r="O941"/>
  <c r="N941"/>
  <c r="H941"/>
  <c r="I1243" s="1"/>
  <c r="P939"/>
  <c r="O939"/>
  <c r="N939"/>
  <c r="H939"/>
  <c r="I1241" s="1"/>
  <c r="O936"/>
  <c r="M936" s="1"/>
  <c r="H936"/>
  <c r="I1238" s="1"/>
  <c r="H1238" s="1"/>
  <c r="O934"/>
  <c r="M934" s="1"/>
  <c r="H934"/>
  <c r="P933"/>
  <c r="O933"/>
  <c r="N933"/>
  <c r="H933"/>
  <c r="I1235" s="1"/>
  <c r="P932"/>
  <c r="O932"/>
  <c r="N932"/>
  <c r="H932"/>
  <c r="P931"/>
  <c r="O931"/>
  <c r="N931"/>
  <c r="H931"/>
  <c r="P930"/>
  <c r="O930"/>
  <c r="N930"/>
  <c r="H930"/>
  <c r="I1232" s="1"/>
  <c r="P929"/>
  <c r="O929"/>
  <c r="N929"/>
  <c r="H929"/>
  <c r="P928"/>
  <c r="O928"/>
  <c r="N928"/>
  <c r="H928"/>
  <c r="P927"/>
  <c r="O927"/>
  <c r="N927"/>
  <c r="H927"/>
  <c r="P926"/>
  <c r="O926"/>
  <c r="N926"/>
  <c r="H926"/>
  <c r="P925"/>
  <c r="O925"/>
  <c r="N925"/>
  <c r="H925"/>
  <c r="I1227" s="1"/>
  <c r="P924"/>
  <c r="O924"/>
  <c r="N924"/>
  <c r="H924"/>
  <c r="P923"/>
  <c r="O923"/>
  <c r="N923"/>
  <c r="H923"/>
  <c r="P922"/>
  <c r="O922"/>
  <c r="N922"/>
  <c r="H922"/>
  <c r="P921"/>
  <c r="O921"/>
  <c r="N921"/>
  <c r="H921"/>
  <c r="P920"/>
  <c r="O920"/>
  <c r="N920"/>
  <c r="H920"/>
  <c r="I1222" s="1"/>
  <c r="P919"/>
  <c r="O919"/>
  <c r="N919"/>
  <c r="H919"/>
  <c r="P918"/>
  <c r="O918"/>
  <c r="N918"/>
  <c r="H918"/>
  <c r="P917"/>
  <c r="O917"/>
  <c r="N917"/>
  <c r="H917"/>
  <c r="P916"/>
  <c r="O916"/>
  <c r="N916"/>
  <c r="H916"/>
  <c r="P915"/>
  <c r="O915"/>
  <c r="N915"/>
  <c r="H915"/>
  <c r="P914"/>
  <c r="O914"/>
  <c r="N914"/>
  <c r="H914"/>
  <c r="P913"/>
  <c r="O913"/>
  <c r="N913"/>
  <c r="H913"/>
  <c r="P912"/>
  <c r="O912"/>
  <c r="N912"/>
  <c r="H912"/>
  <c r="P911"/>
  <c r="O911"/>
  <c r="N911"/>
  <c r="H911"/>
  <c r="P910"/>
  <c r="O910"/>
  <c r="N910"/>
  <c r="H910"/>
  <c r="P909"/>
  <c r="O909"/>
  <c r="N909"/>
  <c r="H909"/>
  <c r="P908"/>
  <c r="O908"/>
  <c r="N908"/>
  <c r="H908"/>
  <c r="P907"/>
  <c r="O907"/>
  <c r="N907"/>
  <c r="H907"/>
  <c r="P906"/>
  <c r="O906"/>
  <c r="N906"/>
  <c r="H906"/>
  <c r="P905"/>
  <c r="O905"/>
  <c r="N905"/>
  <c r="H905"/>
  <c r="P904"/>
  <c r="O904"/>
  <c r="N904"/>
  <c r="H904"/>
  <c r="P903"/>
  <c r="O903"/>
  <c r="N903"/>
  <c r="H903"/>
  <c r="P902"/>
  <c r="O902"/>
  <c r="N902"/>
  <c r="H902"/>
  <c r="P901"/>
  <c r="O901"/>
  <c r="N901"/>
  <c r="H901"/>
  <c r="I1203" s="1"/>
  <c r="P900"/>
  <c r="O900"/>
  <c r="N900"/>
  <c r="H900"/>
  <c r="I1202" s="1"/>
  <c r="P899"/>
  <c r="O899"/>
  <c r="N899"/>
  <c r="H899"/>
  <c r="I1201" s="1"/>
  <c r="P898"/>
  <c r="O898"/>
  <c r="N898"/>
  <c r="H898"/>
  <c r="I1200" s="1"/>
  <c r="O895"/>
  <c r="M895" s="1"/>
  <c r="H895"/>
  <c r="I1197" s="1"/>
  <c r="H1197" s="1"/>
  <c r="O894"/>
  <c r="M894" s="1"/>
  <c r="H894"/>
  <c r="P893"/>
  <c r="O893"/>
  <c r="N893"/>
  <c r="H893"/>
  <c r="U894" s="1"/>
  <c r="X894" s="1"/>
  <c r="P892"/>
  <c r="O892"/>
  <c r="N892"/>
  <c r="H892"/>
  <c r="P891"/>
  <c r="O891"/>
  <c r="N891"/>
  <c r="H891"/>
  <c r="P890"/>
  <c r="O890"/>
  <c r="N890"/>
  <c r="H890"/>
  <c r="U891" s="1"/>
  <c r="X891" s="1"/>
  <c r="P889"/>
  <c r="O889"/>
  <c r="N889"/>
  <c r="H889"/>
  <c r="P888"/>
  <c r="O888"/>
  <c r="N888"/>
  <c r="H888"/>
  <c r="U888" s="1"/>
  <c r="P750"/>
  <c r="O750"/>
  <c r="N750"/>
  <c r="H750"/>
  <c r="P749"/>
  <c r="O749"/>
  <c r="N749"/>
  <c r="H749"/>
  <c r="P748"/>
  <c r="O748"/>
  <c r="N748"/>
  <c r="H748"/>
  <c r="P747"/>
  <c r="O747"/>
  <c r="N747"/>
  <c r="H747"/>
  <c r="P746"/>
  <c r="O746"/>
  <c r="N746"/>
  <c r="H746"/>
  <c r="P745"/>
  <c r="O745"/>
  <c r="N745"/>
  <c r="H745"/>
  <c r="P744"/>
  <c r="O744"/>
  <c r="N744"/>
  <c r="H744"/>
  <c r="P743"/>
  <c r="O743"/>
  <c r="N743"/>
  <c r="H743"/>
  <c r="P742"/>
  <c r="O742"/>
  <c r="N742"/>
  <c r="H742"/>
  <c r="P741"/>
  <c r="O741"/>
  <c r="N741"/>
  <c r="H741"/>
  <c r="P740"/>
  <c r="O740"/>
  <c r="N740"/>
  <c r="H740"/>
  <c r="P739"/>
  <c r="O739"/>
  <c r="N739"/>
  <c r="H739"/>
  <c r="P738"/>
  <c r="O738"/>
  <c r="N738"/>
  <c r="H738"/>
  <c r="P737"/>
  <c r="O737"/>
  <c r="N737"/>
  <c r="H737"/>
  <c r="P736"/>
  <c r="O736"/>
  <c r="N736"/>
  <c r="H736"/>
  <c r="P735"/>
  <c r="O735"/>
  <c r="N735"/>
  <c r="H735"/>
  <c r="P734"/>
  <c r="O734"/>
  <c r="N734"/>
  <c r="H734"/>
  <c r="P733"/>
  <c r="O733"/>
  <c r="N733"/>
  <c r="H733"/>
  <c r="P732"/>
  <c r="O732"/>
  <c r="N732"/>
  <c r="H732"/>
  <c r="P731"/>
  <c r="O731"/>
  <c r="N731"/>
  <c r="H731"/>
  <c r="P730"/>
  <c r="O730"/>
  <c r="N730"/>
  <c r="H730"/>
  <c r="P729"/>
  <c r="O729"/>
  <c r="N729"/>
  <c r="H729"/>
  <c r="P728"/>
  <c r="O728"/>
  <c r="N728"/>
  <c r="H728"/>
  <c r="P727"/>
  <c r="O727"/>
  <c r="N727"/>
  <c r="H727"/>
  <c r="P726"/>
  <c r="O726"/>
  <c r="N726"/>
  <c r="H726"/>
  <c r="P725"/>
  <c r="O725"/>
  <c r="N725"/>
  <c r="H725"/>
  <c r="P724"/>
  <c r="O724"/>
  <c r="N724"/>
  <c r="H724"/>
  <c r="P723"/>
  <c r="O723"/>
  <c r="N723"/>
  <c r="H723"/>
  <c r="P722"/>
  <c r="O722"/>
  <c r="N722"/>
  <c r="H722"/>
  <c r="P721"/>
  <c r="O721"/>
  <c r="N721"/>
  <c r="H721"/>
  <c r="P716"/>
  <c r="O716"/>
  <c r="N716"/>
  <c r="H716"/>
  <c r="P715"/>
  <c r="O715"/>
  <c r="N715"/>
  <c r="H715"/>
  <c r="P714"/>
  <c r="O714"/>
  <c r="N714"/>
  <c r="H714"/>
  <c r="P713"/>
  <c r="O713"/>
  <c r="N713"/>
  <c r="H713"/>
  <c r="P712"/>
  <c r="O712"/>
  <c r="N712"/>
  <c r="H712"/>
  <c r="P711"/>
  <c r="O711"/>
  <c r="N711"/>
  <c r="H711"/>
  <c r="P710"/>
  <c r="O710"/>
  <c r="N710"/>
  <c r="H710"/>
  <c r="P709"/>
  <c r="O709"/>
  <c r="N709"/>
  <c r="H709"/>
  <c r="P708"/>
  <c r="O708"/>
  <c r="N708"/>
  <c r="H708"/>
  <c r="P707"/>
  <c r="O707"/>
  <c r="N707"/>
  <c r="H707"/>
  <c r="P706"/>
  <c r="O706"/>
  <c r="N706"/>
  <c r="H706"/>
  <c r="P705"/>
  <c r="O705"/>
  <c r="N705"/>
  <c r="H705"/>
  <c r="P704"/>
  <c r="O704"/>
  <c r="N704"/>
  <c r="H704"/>
  <c r="P703"/>
  <c r="O703"/>
  <c r="N703"/>
  <c r="H703"/>
  <c r="P702"/>
  <c r="O702"/>
  <c r="N702"/>
  <c r="H702"/>
  <c r="P701"/>
  <c r="O701"/>
  <c r="N701"/>
  <c r="H701"/>
  <c r="P700"/>
  <c r="O700"/>
  <c r="N700"/>
  <c r="H700"/>
  <c r="P699"/>
  <c r="O699"/>
  <c r="N699"/>
  <c r="H699"/>
  <c r="P698"/>
  <c r="O698"/>
  <c r="N698"/>
  <c r="H698"/>
  <c r="P697"/>
  <c r="O697"/>
  <c r="N697"/>
  <c r="H697"/>
  <c r="P696"/>
  <c r="O696"/>
  <c r="N696"/>
  <c r="H696"/>
  <c r="P695"/>
  <c r="O695"/>
  <c r="N695"/>
  <c r="H695"/>
  <c r="P694"/>
  <c r="O694"/>
  <c r="N694"/>
  <c r="H694"/>
  <c r="P693"/>
  <c r="O693"/>
  <c r="N693"/>
  <c r="H693"/>
  <c r="P692"/>
  <c r="O692"/>
  <c r="N692"/>
  <c r="H692"/>
  <c r="P691"/>
  <c r="O691"/>
  <c r="N691"/>
  <c r="H691"/>
  <c r="P690"/>
  <c r="O690"/>
  <c r="N690"/>
  <c r="H690"/>
  <c r="P689"/>
  <c r="O689"/>
  <c r="N689"/>
  <c r="H689"/>
  <c r="P688"/>
  <c r="O688"/>
  <c r="N688"/>
  <c r="H688"/>
  <c r="P687"/>
  <c r="O687"/>
  <c r="N687"/>
  <c r="H687"/>
  <c r="P686"/>
  <c r="O686"/>
  <c r="N686"/>
  <c r="H686"/>
  <c r="P685"/>
  <c r="O685"/>
  <c r="N685"/>
  <c r="H685"/>
  <c r="P684"/>
  <c r="O684"/>
  <c r="N684"/>
  <c r="H684"/>
  <c r="P683"/>
  <c r="O683"/>
  <c r="N683"/>
  <c r="H683"/>
  <c r="P682"/>
  <c r="O682"/>
  <c r="N682"/>
  <c r="H682"/>
  <c r="P681"/>
  <c r="O681"/>
  <c r="N681"/>
  <c r="H681"/>
  <c r="P676"/>
  <c r="O676"/>
  <c r="N676"/>
  <c r="H676"/>
  <c r="P675"/>
  <c r="O675"/>
  <c r="N675"/>
  <c r="H675"/>
  <c r="P674"/>
  <c r="O674"/>
  <c r="N674"/>
  <c r="H674"/>
  <c r="P673"/>
  <c r="O673"/>
  <c r="N673"/>
  <c r="H673"/>
  <c r="P672"/>
  <c r="O672"/>
  <c r="N672"/>
  <c r="H672"/>
  <c r="P671"/>
  <c r="O671"/>
  <c r="N671"/>
  <c r="H671"/>
  <c r="P670"/>
  <c r="O670"/>
  <c r="N670"/>
  <c r="H670"/>
  <c r="P669"/>
  <c r="O669"/>
  <c r="N669"/>
  <c r="H669"/>
  <c r="P668"/>
  <c r="O668"/>
  <c r="N668"/>
  <c r="H668"/>
  <c r="P667"/>
  <c r="O667"/>
  <c r="N667"/>
  <c r="H667"/>
  <c r="P666"/>
  <c r="O666"/>
  <c r="N666"/>
  <c r="H666"/>
  <c r="P665"/>
  <c r="O665"/>
  <c r="N665"/>
  <c r="H665"/>
  <c r="P664"/>
  <c r="O664"/>
  <c r="N664"/>
  <c r="H664"/>
  <c r="P663"/>
  <c r="O663"/>
  <c r="N663"/>
  <c r="H663"/>
  <c r="P662"/>
  <c r="O662"/>
  <c r="N662"/>
  <c r="H662"/>
  <c r="P661"/>
  <c r="O661"/>
  <c r="N661"/>
  <c r="H661"/>
  <c r="P660"/>
  <c r="O660"/>
  <c r="N660"/>
  <c r="H660"/>
  <c r="P659"/>
  <c r="O659"/>
  <c r="N659"/>
  <c r="H659"/>
  <c r="P658"/>
  <c r="O658"/>
  <c r="N658"/>
  <c r="H658"/>
  <c r="P657"/>
  <c r="O657"/>
  <c r="N657"/>
  <c r="H657"/>
  <c r="P656"/>
  <c r="O656"/>
  <c r="N656"/>
  <c r="H656"/>
  <c r="P655"/>
  <c r="O655"/>
  <c r="N655"/>
  <c r="H655"/>
  <c r="P654"/>
  <c r="O654"/>
  <c r="N654"/>
  <c r="H654"/>
  <c r="P653"/>
  <c r="O653"/>
  <c r="N653"/>
  <c r="H653"/>
  <c r="P652"/>
  <c r="O652"/>
  <c r="N652"/>
  <c r="H652"/>
  <c r="P651"/>
  <c r="O651"/>
  <c r="N651"/>
  <c r="H651"/>
  <c r="P650"/>
  <c r="O650"/>
  <c r="N650"/>
  <c r="H650"/>
  <c r="P649"/>
  <c r="O649"/>
  <c r="N649"/>
  <c r="H649"/>
  <c r="P648"/>
  <c r="O648"/>
  <c r="N648"/>
  <c r="H648"/>
  <c r="P647"/>
  <c r="O647"/>
  <c r="N647"/>
  <c r="H647"/>
  <c r="P646"/>
  <c r="O646"/>
  <c r="N646"/>
  <c r="H646"/>
  <c r="P645"/>
  <c r="O645"/>
  <c r="N645"/>
  <c r="H645"/>
  <c r="P644"/>
  <c r="O644"/>
  <c r="N644"/>
  <c r="H644"/>
  <c r="P643"/>
  <c r="O643"/>
  <c r="N643"/>
  <c r="H643"/>
  <c r="P642"/>
  <c r="O642"/>
  <c r="N642"/>
  <c r="H642"/>
  <c r="P640"/>
  <c r="O640"/>
  <c r="N640"/>
  <c r="H640"/>
  <c r="P634"/>
  <c r="O634"/>
  <c r="N634"/>
  <c r="H634"/>
  <c r="P633"/>
  <c r="O633"/>
  <c r="N633"/>
  <c r="H633"/>
  <c r="P632"/>
  <c r="O632"/>
  <c r="N632"/>
  <c r="H632"/>
  <c r="P631"/>
  <c r="O631"/>
  <c r="N631"/>
  <c r="H631"/>
  <c r="P630"/>
  <c r="O630"/>
  <c r="N630"/>
  <c r="H630"/>
  <c r="P629"/>
  <c r="O629"/>
  <c r="N629"/>
  <c r="H629"/>
  <c r="P628"/>
  <c r="O628"/>
  <c r="N628"/>
  <c r="H628"/>
  <c r="P627"/>
  <c r="O627"/>
  <c r="N627"/>
  <c r="H627"/>
  <c r="P626"/>
  <c r="O626"/>
  <c r="N626"/>
  <c r="H626"/>
  <c r="P625"/>
  <c r="O625"/>
  <c r="N625"/>
  <c r="H625"/>
  <c r="P624"/>
  <c r="O624"/>
  <c r="N624"/>
  <c r="H624"/>
  <c r="P623"/>
  <c r="O623"/>
  <c r="N623"/>
  <c r="H623"/>
  <c r="P622"/>
  <c r="O622"/>
  <c r="N622"/>
  <c r="H622"/>
  <c r="P621"/>
  <c r="O621"/>
  <c r="N621"/>
  <c r="H621"/>
  <c r="P620"/>
  <c r="O620"/>
  <c r="N620"/>
  <c r="H620"/>
  <c r="P619"/>
  <c r="O619"/>
  <c r="N619"/>
  <c r="H619"/>
  <c r="P618"/>
  <c r="O618"/>
  <c r="N618"/>
  <c r="H618"/>
  <c r="P617"/>
  <c r="O617"/>
  <c r="N617"/>
  <c r="H617"/>
  <c r="P616"/>
  <c r="O616"/>
  <c r="N616"/>
  <c r="H616"/>
  <c r="P615"/>
  <c r="O615"/>
  <c r="N615"/>
  <c r="H615"/>
  <c r="P614"/>
  <c r="O614"/>
  <c r="N614"/>
  <c r="H614"/>
  <c r="P613"/>
  <c r="O613"/>
  <c r="N613"/>
  <c r="H613"/>
  <c r="P612"/>
  <c r="O612"/>
  <c r="N612"/>
  <c r="H612"/>
  <c r="P611"/>
  <c r="O611"/>
  <c r="N611"/>
  <c r="H611"/>
  <c r="P610"/>
  <c r="O610"/>
  <c r="N610"/>
  <c r="H610"/>
  <c r="P609"/>
  <c r="O609"/>
  <c r="N609"/>
  <c r="H609"/>
  <c r="P608"/>
  <c r="O608"/>
  <c r="N608"/>
  <c r="H608"/>
  <c r="P607"/>
  <c r="O607"/>
  <c r="N607"/>
  <c r="H607"/>
  <c r="P606"/>
  <c r="O606"/>
  <c r="N606"/>
  <c r="H606"/>
  <c r="P605"/>
  <c r="O605"/>
  <c r="N605"/>
  <c r="H605"/>
  <c r="P604"/>
  <c r="O604"/>
  <c r="N604"/>
  <c r="H604"/>
  <c r="P603"/>
  <c r="O603"/>
  <c r="N603"/>
  <c r="H603"/>
  <c r="P602"/>
  <c r="O602"/>
  <c r="N602"/>
  <c r="H602"/>
  <c r="P601"/>
  <c r="O601"/>
  <c r="N601"/>
  <c r="H601"/>
  <c r="P600"/>
  <c r="O600"/>
  <c r="N600"/>
  <c r="H600"/>
  <c r="P599"/>
  <c r="O599"/>
  <c r="N599"/>
  <c r="H599"/>
  <c r="O596"/>
  <c r="M596" s="1"/>
  <c r="H596"/>
  <c r="O595"/>
  <c r="M595" s="1"/>
  <c r="H595"/>
  <c r="P594"/>
  <c r="O594"/>
  <c r="N594"/>
  <c r="H594"/>
  <c r="U595" s="1"/>
  <c r="X595" s="1"/>
  <c r="P593"/>
  <c r="O593"/>
  <c r="N593"/>
  <c r="H593"/>
  <c r="U594" s="1"/>
  <c r="X594" s="1"/>
  <c r="P592"/>
  <c r="O592"/>
  <c r="N592"/>
  <c r="H592"/>
  <c r="U593" s="1"/>
  <c r="X593" s="1"/>
  <c r="P591"/>
  <c r="O591"/>
  <c r="N591"/>
  <c r="H591"/>
  <c r="U592" s="1"/>
  <c r="X592" s="1"/>
  <c r="P590"/>
  <c r="O590"/>
  <c r="N590"/>
  <c r="H590"/>
  <c r="P589"/>
  <c r="O589"/>
  <c r="N589"/>
  <c r="H589"/>
  <c r="U589" s="1"/>
  <c r="P1184"/>
  <c r="O1184"/>
  <c r="N1184"/>
  <c r="H1184"/>
  <c r="P1183"/>
  <c r="O1183"/>
  <c r="N1183"/>
  <c r="H1183"/>
  <c r="P1182"/>
  <c r="O1182"/>
  <c r="N1182"/>
  <c r="H1182"/>
  <c r="P1181"/>
  <c r="O1181"/>
  <c r="N1181"/>
  <c r="H1181"/>
  <c r="P1180"/>
  <c r="O1180"/>
  <c r="N1180"/>
  <c r="H1180"/>
  <c r="P1179"/>
  <c r="O1179"/>
  <c r="N1179"/>
  <c r="H1179"/>
  <c r="P1178"/>
  <c r="O1178"/>
  <c r="N1178"/>
  <c r="H1178"/>
  <c r="P1177"/>
  <c r="O1177"/>
  <c r="N1177"/>
  <c r="H1177"/>
  <c r="P1176"/>
  <c r="O1176"/>
  <c r="N1176"/>
  <c r="H1176"/>
  <c r="P1175"/>
  <c r="O1175"/>
  <c r="N1175"/>
  <c r="H1175"/>
  <c r="P1174"/>
  <c r="O1174"/>
  <c r="N1174"/>
  <c r="H1174"/>
  <c r="P1173"/>
  <c r="O1173"/>
  <c r="N1173"/>
  <c r="H1173"/>
  <c r="P1172"/>
  <c r="O1172"/>
  <c r="N1172"/>
  <c r="H1172"/>
  <c r="P1171"/>
  <c r="O1171"/>
  <c r="N1171"/>
  <c r="H1171"/>
  <c r="P1170"/>
  <c r="O1170"/>
  <c r="N1170"/>
  <c r="H1170"/>
  <c r="P1169"/>
  <c r="O1169"/>
  <c r="N1169"/>
  <c r="H1169"/>
  <c r="P1168"/>
  <c r="O1168"/>
  <c r="N1168"/>
  <c r="H1168"/>
  <c r="P1167"/>
  <c r="O1167"/>
  <c r="N1167"/>
  <c r="H1167"/>
  <c r="P1166"/>
  <c r="O1166"/>
  <c r="N1166"/>
  <c r="H1166"/>
  <c r="P1165"/>
  <c r="O1165"/>
  <c r="N1165"/>
  <c r="H1165"/>
  <c r="P1164"/>
  <c r="O1164"/>
  <c r="N1164"/>
  <c r="H1164"/>
  <c r="P1163"/>
  <c r="O1163"/>
  <c r="N1163"/>
  <c r="H1163"/>
  <c r="P1162"/>
  <c r="O1162"/>
  <c r="N1162"/>
  <c r="H1162"/>
  <c r="P1161"/>
  <c r="O1161"/>
  <c r="N1161"/>
  <c r="H1161"/>
  <c r="P1160"/>
  <c r="O1160"/>
  <c r="N1160"/>
  <c r="H1160"/>
  <c r="P1159"/>
  <c r="O1159"/>
  <c r="N1159"/>
  <c r="H1159"/>
  <c r="P1158"/>
  <c r="O1158"/>
  <c r="N1158"/>
  <c r="H1158"/>
  <c r="P1157"/>
  <c r="O1157"/>
  <c r="N1157"/>
  <c r="H1157"/>
  <c r="P1156"/>
  <c r="O1156"/>
  <c r="N1156"/>
  <c r="H1156"/>
  <c r="P1155"/>
  <c r="O1155"/>
  <c r="N1155"/>
  <c r="H1155"/>
  <c r="P1154"/>
  <c r="M1154" s="1"/>
  <c r="H1154"/>
  <c r="P1152"/>
  <c r="O1152"/>
  <c r="N1152"/>
  <c r="H1152"/>
  <c r="P1151"/>
  <c r="O1151"/>
  <c r="N1151"/>
  <c r="H1151"/>
  <c r="P1150"/>
  <c r="O1150"/>
  <c r="N1150"/>
  <c r="H1150"/>
  <c r="P1149"/>
  <c r="O1149"/>
  <c r="N1149"/>
  <c r="H1149"/>
  <c r="P1148"/>
  <c r="O1148"/>
  <c r="N1148"/>
  <c r="H1148"/>
  <c r="P1147"/>
  <c r="O1147"/>
  <c r="N1147"/>
  <c r="H1147"/>
  <c r="P1146"/>
  <c r="O1146"/>
  <c r="N1146"/>
  <c r="H1146"/>
  <c r="P1145"/>
  <c r="O1145"/>
  <c r="N1145"/>
  <c r="H1145"/>
  <c r="P1144"/>
  <c r="O1144"/>
  <c r="N1144"/>
  <c r="H1144"/>
  <c r="P1143"/>
  <c r="O1143"/>
  <c r="N1143"/>
  <c r="H1143"/>
  <c r="P1142"/>
  <c r="O1142"/>
  <c r="N1142"/>
  <c r="H1142"/>
  <c r="P1141"/>
  <c r="O1141"/>
  <c r="N1141"/>
  <c r="H1141"/>
  <c r="P1140"/>
  <c r="O1140"/>
  <c r="N1140"/>
  <c r="H1140"/>
  <c r="P1139"/>
  <c r="O1139"/>
  <c r="N1139"/>
  <c r="H1139"/>
  <c r="P1138"/>
  <c r="O1138"/>
  <c r="N1138"/>
  <c r="H1138"/>
  <c r="P1137"/>
  <c r="O1137"/>
  <c r="N1137"/>
  <c r="H1137"/>
  <c r="P1136"/>
  <c r="O1136"/>
  <c r="N1136"/>
  <c r="H1136"/>
  <c r="P1135"/>
  <c r="O1135"/>
  <c r="N1135"/>
  <c r="H1135"/>
  <c r="P1134"/>
  <c r="O1134"/>
  <c r="N1134"/>
  <c r="H1134"/>
  <c r="P1133"/>
  <c r="O1133"/>
  <c r="N1133"/>
  <c r="H1133"/>
  <c r="P1132"/>
  <c r="O1132"/>
  <c r="N1132"/>
  <c r="H1132"/>
  <c r="P1131"/>
  <c r="O1131"/>
  <c r="N1131"/>
  <c r="H1131"/>
  <c r="P1130"/>
  <c r="O1130"/>
  <c r="N1130"/>
  <c r="H1130"/>
  <c r="P1129"/>
  <c r="O1129"/>
  <c r="N1129"/>
  <c r="H1129"/>
  <c r="P1128"/>
  <c r="O1128"/>
  <c r="N1128"/>
  <c r="H1128"/>
  <c r="P1127"/>
  <c r="O1127"/>
  <c r="N1127"/>
  <c r="H1127"/>
  <c r="P1126"/>
  <c r="O1126"/>
  <c r="N1126"/>
  <c r="H1126"/>
  <c r="P1125"/>
  <c r="O1125"/>
  <c r="N1125"/>
  <c r="H1125"/>
  <c r="P1124"/>
  <c r="O1124"/>
  <c r="N1124"/>
  <c r="H1124"/>
  <c r="P1123"/>
  <c r="O1123"/>
  <c r="N1123"/>
  <c r="H1123"/>
  <c r="P1122"/>
  <c r="O1122"/>
  <c r="N1122"/>
  <c r="H1122"/>
  <c r="P1121"/>
  <c r="O1121"/>
  <c r="N1121"/>
  <c r="H1121"/>
  <c r="P1119"/>
  <c r="O1119"/>
  <c r="N1119"/>
  <c r="H1119"/>
  <c r="P1118"/>
  <c r="O1118"/>
  <c r="N1118"/>
  <c r="H1118"/>
  <c r="P1117"/>
  <c r="O1117"/>
  <c r="N1117"/>
  <c r="H1117"/>
  <c r="P1116"/>
  <c r="O1116"/>
  <c r="N1116"/>
  <c r="H1116"/>
  <c r="P1115"/>
  <c r="O1115"/>
  <c r="P1114"/>
  <c r="O1114"/>
  <c r="N1114"/>
  <c r="H1114"/>
  <c r="P1113"/>
  <c r="O1113"/>
  <c r="N1113"/>
  <c r="H1113"/>
  <c r="P1112"/>
  <c r="O1112"/>
  <c r="N1112"/>
  <c r="H1112"/>
  <c r="P1111"/>
  <c r="O1111"/>
  <c r="N1111"/>
  <c r="H1111"/>
  <c r="P1110"/>
  <c r="O1110"/>
  <c r="N1110"/>
  <c r="H1110"/>
  <c r="P1109"/>
  <c r="O1109"/>
  <c r="N1109"/>
  <c r="H1109"/>
  <c r="P1108"/>
  <c r="O1108"/>
  <c r="N1108"/>
  <c r="H1108"/>
  <c r="P1107"/>
  <c r="O1107"/>
  <c r="N1107"/>
  <c r="H1107"/>
  <c r="P1106"/>
  <c r="O1106"/>
  <c r="N1106"/>
  <c r="H1106"/>
  <c r="P1105"/>
  <c r="O1105"/>
  <c r="N1105"/>
  <c r="H1105"/>
  <c r="P1104"/>
  <c r="O1104"/>
  <c r="N1104"/>
  <c r="H1104"/>
  <c r="P1103"/>
  <c r="O1103"/>
  <c r="N1103"/>
  <c r="H1103"/>
  <c r="P1102"/>
  <c r="O1102"/>
  <c r="N1102"/>
  <c r="H1102"/>
  <c r="P1101"/>
  <c r="O1101"/>
  <c r="N1101"/>
  <c r="H1101"/>
  <c r="P1100"/>
  <c r="O1100"/>
  <c r="N1100"/>
  <c r="H1100"/>
  <c r="P1099"/>
  <c r="O1099"/>
  <c r="N1099"/>
  <c r="H1099"/>
  <c r="P1098"/>
  <c r="O1098"/>
  <c r="N1098"/>
  <c r="H1098"/>
  <c r="P1097"/>
  <c r="O1097"/>
  <c r="N1097"/>
  <c r="H1097"/>
  <c r="P1096"/>
  <c r="O1096"/>
  <c r="N1096"/>
  <c r="H1096"/>
  <c r="P1095"/>
  <c r="O1095"/>
  <c r="N1095"/>
  <c r="H1095"/>
  <c r="P1094"/>
  <c r="O1094"/>
  <c r="N1094"/>
  <c r="H1094"/>
  <c r="P1093"/>
  <c r="O1093"/>
  <c r="N1093"/>
  <c r="H1093"/>
  <c r="P1092"/>
  <c r="O1092"/>
  <c r="N1092"/>
  <c r="H1092"/>
  <c r="P1091"/>
  <c r="O1091"/>
  <c r="N1091"/>
  <c r="H1091"/>
  <c r="P1090"/>
  <c r="O1090"/>
  <c r="N1090"/>
  <c r="H1090"/>
  <c r="P1089"/>
  <c r="O1089"/>
  <c r="N1089"/>
  <c r="H1089"/>
  <c r="P1088"/>
  <c r="O1088"/>
  <c r="N1088"/>
  <c r="H1088"/>
  <c r="P1086"/>
  <c r="O1086"/>
  <c r="N1086"/>
  <c r="H1086"/>
  <c r="P1085"/>
  <c r="O1085"/>
  <c r="N1085"/>
  <c r="H1085"/>
  <c r="P1084"/>
  <c r="O1084"/>
  <c r="N1084"/>
  <c r="H1084"/>
  <c r="P1083"/>
  <c r="O1083"/>
  <c r="N1083"/>
  <c r="H1083"/>
  <c r="P1082"/>
  <c r="O1082"/>
  <c r="N1082"/>
  <c r="H1082"/>
  <c r="P1081"/>
  <c r="O1081"/>
  <c r="N1081"/>
  <c r="H1081"/>
  <c r="P1080"/>
  <c r="O1080"/>
  <c r="N1080"/>
  <c r="H1080"/>
  <c r="P1079"/>
  <c r="O1079"/>
  <c r="N1079"/>
  <c r="H1079"/>
  <c r="P1078"/>
  <c r="O1078"/>
  <c r="N1078"/>
  <c r="H1078"/>
  <c r="P1077"/>
  <c r="O1077"/>
  <c r="N1077"/>
  <c r="H1077"/>
  <c r="P1076"/>
  <c r="O1076"/>
  <c r="N1076"/>
  <c r="H1076"/>
  <c r="P1075"/>
  <c r="O1075"/>
  <c r="N1075"/>
  <c r="H1075"/>
  <c r="P1074"/>
  <c r="O1074"/>
  <c r="N1074"/>
  <c r="H1074"/>
  <c r="P1073"/>
  <c r="O1073"/>
  <c r="N1073"/>
  <c r="H1073"/>
  <c r="P1072"/>
  <c r="O1072"/>
  <c r="N1072"/>
  <c r="H1072"/>
  <c r="P1071"/>
  <c r="O1071"/>
  <c r="N1071"/>
  <c r="H1071"/>
  <c r="P1070"/>
  <c r="O1070"/>
  <c r="N1070"/>
  <c r="H1070"/>
  <c r="P1069"/>
  <c r="O1069"/>
  <c r="N1069"/>
  <c r="H1069"/>
  <c r="P1068"/>
  <c r="O1068"/>
  <c r="N1068"/>
  <c r="H1068"/>
  <c r="P1067"/>
  <c r="O1067"/>
  <c r="N1067"/>
  <c r="H1067"/>
  <c r="P1066"/>
  <c r="O1066"/>
  <c r="N1066"/>
  <c r="H1066"/>
  <c r="P1065"/>
  <c r="O1065"/>
  <c r="N1065"/>
  <c r="H1065"/>
  <c r="P1064"/>
  <c r="O1064"/>
  <c r="N1064"/>
  <c r="H1064"/>
  <c r="P1063"/>
  <c r="O1063"/>
  <c r="N1063"/>
  <c r="H1063"/>
  <c r="P1062"/>
  <c r="O1062"/>
  <c r="N1062"/>
  <c r="H1062"/>
  <c r="P1061"/>
  <c r="O1061"/>
  <c r="N1061"/>
  <c r="H1061"/>
  <c r="P1060"/>
  <c r="O1060"/>
  <c r="N1060"/>
  <c r="H1060"/>
  <c r="P1059"/>
  <c r="O1059"/>
  <c r="N1059"/>
  <c r="H1059"/>
  <c r="P1058"/>
  <c r="O1058"/>
  <c r="N1058"/>
  <c r="H1058"/>
  <c r="P1057"/>
  <c r="O1057"/>
  <c r="N1057"/>
  <c r="H1057"/>
  <c r="P1056"/>
  <c r="O1056"/>
  <c r="N1056"/>
  <c r="H1056"/>
  <c r="P1055"/>
  <c r="O1055"/>
  <c r="N1055"/>
  <c r="H1055"/>
  <c r="P1053"/>
  <c r="O1053"/>
  <c r="N1053"/>
  <c r="H1053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U892" l="1"/>
  <c r="X892" s="1"/>
  <c r="U591"/>
  <c r="X591" s="1"/>
  <c r="U893"/>
  <c r="X893" s="1"/>
  <c r="U890"/>
  <c r="X890" s="1"/>
  <c r="AK58" i="35"/>
  <c r="AK59"/>
  <c r="AN60"/>
  <c r="BL60" s="1"/>
  <c r="BN60" s="1"/>
  <c r="AN100"/>
  <c r="BL100" s="1"/>
  <c r="BN100" s="1"/>
  <c r="AN101"/>
  <c r="BL101" s="1"/>
  <c r="BN101" s="1"/>
  <c r="N1200" i="7"/>
  <c r="M1200" s="1"/>
  <c r="H1200"/>
  <c r="H1201"/>
  <c r="N1201"/>
  <c r="M1201" s="1"/>
  <c r="N1202"/>
  <c r="M1202" s="1"/>
  <c r="H1202"/>
  <c r="H1203"/>
  <c r="N1203"/>
  <c r="M1203" s="1"/>
  <c r="H1222"/>
  <c r="N1222"/>
  <c r="M1222" s="1"/>
  <c r="N1227"/>
  <c r="M1227" s="1"/>
  <c r="H1227"/>
  <c r="H1232"/>
  <c r="N1232"/>
  <c r="M1232" s="1"/>
  <c r="H1235"/>
  <c r="N1235"/>
  <c r="M1235" s="1"/>
  <c r="N1241"/>
  <c r="M1241" s="1"/>
  <c r="H1241"/>
  <c r="H1243"/>
  <c r="N1243"/>
  <c r="M1243" s="1"/>
  <c r="H1244"/>
  <c r="N1244"/>
  <c r="M1244" s="1"/>
  <c r="H1245"/>
  <c r="N1245"/>
  <c r="M1245" s="1"/>
  <c r="H1252"/>
  <c r="N1252"/>
  <c r="M1252" s="1"/>
  <c r="H1255"/>
  <c r="N1255"/>
  <c r="M1255" s="1"/>
  <c r="H1258"/>
  <c r="N1258"/>
  <c r="M1258" s="1"/>
  <c r="H1261"/>
  <c r="N1261"/>
  <c r="M1261" s="1"/>
  <c r="H1264"/>
  <c r="N1264"/>
  <c r="M1264" s="1"/>
  <c r="H1269"/>
  <c r="N1269"/>
  <c r="M1269" s="1"/>
  <c r="H1274"/>
  <c r="N1274"/>
  <c r="M1274" s="1"/>
  <c r="H1277"/>
  <c r="N1277"/>
  <c r="M1277" s="1"/>
  <c r="H1282"/>
  <c r="N1282"/>
  <c r="M1282" s="1"/>
  <c r="H1283"/>
  <c r="N1283"/>
  <c r="M1283" s="1"/>
  <c r="H1284"/>
  <c r="N1284"/>
  <c r="M1284" s="1"/>
  <c r="H1285"/>
  <c r="N1285"/>
  <c r="M1285" s="1"/>
  <c r="H1295"/>
  <c r="N1295"/>
  <c r="M1295" s="1"/>
  <c r="H1301"/>
  <c r="N1301"/>
  <c r="M1301" s="1"/>
  <c r="H1304"/>
  <c r="N1304"/>
  <c r="M1304" s="1"/>
  <c r="H1309"/>
  <c r="N1309"/>
  <c r="M1309" s="1"/>
  <c r="H1322"/>
  <c r="N1322"/>
  <c r="M1322" s="1"/>
  <c r="H1323"/>
  <c r="N1323"/>
  <c r="M1323" s="1"/>
  <c r="H1324"/>
  <c r="N1324"/>
  <c r="M1324" s="1"/>
  <c r="H1325"/>
  <c r="N1325"/>
  <c r="M1325" s="1"/>
  <c r="H1341"/>
  <c r="N1341"/>
  <c r="M1341" s="1"/>
  <c r="H1344"/>
  <c r="N1344"/>
  <c r="M1344" s="1"/>
  <c r="H1349"/>
  <c r="N1349"/>
  <c r="M1349" s="1"/>
  <c r="X589"/>
  <c r="X888"/>
  <c r="AN106" i="35"/>
  <c r="BL106" s="1"/>
  <c r="BN106" s="1"/>
  <c r="AN42"/>
  <c r="BL42" s="1"/>
  <c r="BN42" s="1"/>
  <c r="AN34"/>
  <c r="BL34" s="1"/>
  <c r="BN34" s="1"/>
  <c r="AN44"/>
  <c r="BL44" s="1"/>
  <c r="BN44" s="1"/>
  <c r="AN54"/>
  <c r="BL54" s="1"/>
  <c r="BN54" s="1"/>
  <c r="AN39"/>
  <c r="BL39" s="1"/>
  <c r="BN39" s="1"/>
  <c r="AN97"/>
  <c r="BL97" s="1"/>
  <c r="BN97" s="1"/>
  <c r="AN7"/>
  <c r="BL7" s="1"/>
  <c r="BO7" s="1"/>
  <c r="AN57"/>
  <c r="BL57" s="1"/>
  <c r="AN95"/>
  <c r="BL95" s="1"/>
  <c r="BN95" s="1"/>
  <c r="AN71"/>
  <c r="BL71" s="1"/>
  <c r="BN71" s="1"/>
  <c r="AN31"/>
  <c r="BL31" s="1"/>
  <c r="BN31" s="1"/>
  <c r="AN28"/>
  <c r="BL28" s="1"/>
  <c r="BN28" s="1"/>
  <c r="AN52"/>
  <c r="BL52" s="1"/>
  <c r="BN52" s="1"/>
  <c r="AN41"/>
  <c r="BL41" s="1"/>
  <c r="BN41" s="1"/>
  <c r="AN51"/>
  <c r="BL51" s="1"/>
  <c r="BN51" s="1"/>
  <c r="AN45"/>
  <c r="BL45" s="1"/>
  <c r="BN45" s="1"/>
  <c r="AN56"/>
  <c r="BL56" s="1"/>
  <c r="BN56" s="1"/>
  <c r="AN19"/>
  <c r="BL19" s="1"/>
  <c r="BN19" s="1"/>
  <c r="AN55"/>
  <c r="BL55" s="1"/>
  <c r="BN55" s="1"/>
  <c r="AN92"/>
  <c r="BL92" s="1"/>
  <c r="BN92" s="1"/>
  <c r="AN24"/>
  <c r="BL24" s="1"/>
  <c r="BN24" s="1"/>
  <c r="AN53"/>
  <c r="BL53" s="1"/>
  <c r="BN53" s="1"/>
  <c r="AN38"/>
  <c r="BL38" s="1"/>
  <c r="BN38" s="1"/>
  <c r="AN8"/>
  <c r="BL8" s="1"/>
  <c r="BN8" s="1"/>
  <c r="AN48"/>
  <c r="BL48" s="1"/>
  <c r="BN48" s="1"/>
  <c r="AN50"/>
  <c r="BL50" s="1"/>
  <c r="BN50" s="1"/>
  <c r="AN22"/>
  <c r="BL22" s="1"/>
  <c r="BN22" s="1"/>
  <c r="AN73"/>
  <c r="AN112" s="1"/>
  <c r="AN103"/>
  <c r="BL103" s="1"/>
  <c r="BN103" s="1"/>
  <c r="AN36"/>
  <c r="BL36" s="1"/>
  <c r="BN36" s="1"/>
  <c r="AN35"/>
  <c r="BL35" s="1"/>
  <c r="BN35" s="1"/>
  <c r="AN12"/>
  <c r="BL12" s="1"/>
  <c r="BN12" s="1"/>
  <c r="AN46"/>
  <c r="BL46" s="1"/>
  <c r="BN46" s="1"/>
  <c r="AN14"/>
  <c r="BL14" s="1"/>
  <c r="BN14" s="1"/>
  <c r="AN33"/>
  <c r="BL33" s="1"/>
  <c r="BN33" s="1"/>
  <c r="AN62"/>
  <c r="BL62" s="1"/>
  <c r="BN62" s="1"/>
  <c r="AN85"/>
  <c r="BL85" s="1"/>
  <c r="BN85" s="1"/>
  <c r="AN64"/>
  <c r="BL64" s="1"/>
  <c r="BN64" s="1"/>
  <c r="AN49"/>
  <c r="BL49" s="1"/>
  <c r="BN49" s="1"/>
  <c r="AN23"/>
  <c r="BL23" s="1"/>
  <c r="BN23" s="1"/>
  <c r="AN13"/>
  <c r="BL13" s="1"/>
  <c r="BN13" s="1"/>
  <c r="AN27"/>
  <c r="BL27" s="1"/>
  <c r="BN27" s="1"/>
  <c r="AN25"/>
  <c r="BL25" s="1"/>
  <c r="BN25" s="1"/>
  <c r="AN30"/>
  <c r="BL30" s="1"/>
  <c r="BN30" s="1"/>
  <c r="AN47"/>
  <c r="BL47" s="1"/>
  <c r="BN47" s="1"/>
  <c r="AN9"/>
  <c r="BL9" s="1"/>
  <c r="BN9" s="1"/>
  <c r="AN98"/>
  <c r="BL98" s="1"/>
  <c r="BN98" s="1"/>
  <c r="AN67"/>
  <c r="BL67" s="1"/>
  <c r="BN67" s="1"/>
  <c r="AN96"/>
  <c r="BL96" s="1"/>
  <c r="BN96" s="1"/>
  <c r="AN102"/>
  <c r="BL102" s="1"/>
  <c r="BN102" s="1"/>
  <c r="M1091" i="7"/>
  <c r="M1093"/>
  <c r="M942"/>
  <c r="M956"/>
  <c r="M964"/>
  <c r="M889"/>
  <c r="M890"/>
  <c r="M892"/>
  <c r="M893"/>
  <c r="M899"/>
  <c r="M903"/>
  <c r="M904"/>
  <c r="M906"/>
  <c r="M907"/>
  <c r="M908"/>
  <c r="M910"/>
  <c r="M919"/>
  <c r="M923"/>
  <c r="M927"/>
  <c r="M930"/>
  <c r="M939"/>
  <c r="M941"/>
  <c r="M973"/>
  <c r="M981"/>
  <c r="M997"/>
  <c r="M1010"/>
  <c r="M983"/>
  <c r="M987"/>
  <c r="M988"/>
  <c r="M1024"/>
  <c r="M1028"/>
  <c r="M1032"/>
  <c r="M1033"/>
  <c r="M1035"/>
  <c r="M1040"/>
  <c r="M1042"/>
  <c r="M1048"/>
  <c r="M1049"/>
  <c r="M917"/>
  <c r="M1062"/>
  <c r="M948"/>
  <c r="M960"/>
  <c r="M962"/>
  <c r="M966"/>
  <c r="M967"/>
  <c r="M969"/>
  <c r="M970"/>
  <c r="M972"/>
  <c r="M1020"/>
  <c r="M1036"/>
  <c r="M911"/>
  <c r="M932"/>
  <c r="M946"/>
  <c r="M950"/>
  <c r="M952"/>
  <c r="M953"/>
  <c r="M955"/>
  <c r="M991"/>
  <c r="M1005"/>
  <c r="M1026"/>
  <c r="M1030"/>
  <c r="M1044"/>
  <c r="M1046"/>
  <c r="M901"/>
  <c r="M921"/>
  <c r="M985"/>
  <c r="M915"/>
  <c r="M924"/>
  <c r="M926"/>
  <c r="M990"/>
  <c r="M995"/>
  <c r="M999"/>
  <c r="M1001"/>
  <c r="M1002"/>
  <c r="M1004"/>
  <c r="M1009"/>
  <c r="M1012"/>
  <c r="M1013"/>
  <c r="M1015"/>
  <c r="M888"/>
  <c r="M900"/>
  <c r="M902"/>
  <c r="M913"/>
  <c r="M916"/>
  <c r="M918"/>
  <c r="M928"/>
  <c r="M931"/>
  <c r="M933"/>
  <c r="M944"/>
  <c r="M947"/>
  <c r="M949"/>
  <c r="M958"/>
  <c r="M961"/>
  <c r="M975"/>
  <c r="M980"/>
  <c r="M982"/>
  <c r="M993"/>
  <c r="M996"/>
  <c r="M998"/>
  <c r="M1007"/>
  <c r="M1011"/>
  <c r="M1022"/>
  <c r="M1025"/>
  <c r="M1027"/>
  <c r="M1038"/>
  <c r="M1041"/>
  <c r="M898"/>
  <c r="M909"/>
  <c r="M912"/>
  <c r="M914"/>
  <c r="M925"/>
  <c r="M929"/>
  <c r="M943"/>
  <c r="M945"/>
  <c r="M954"/>
  <c r="M957"/>
  <c r="M959"/>
  <c r="M968"/>
  <c r="M971"/>
  <c r="M974"/>
  <c r="M989"/>
  <c r="M992"/>
  <c r="M994"/>
  <c r="M1003"/>
  <c r="M1006"/>
  <c r="M1008"/>
  <c r="M1021"/>
  <c r="M1023"/>
  <c r="M1034"/>
  <c r="M1037"/>
  <c r="M1039"/>
  <c r="M891"/>
  <c r="M905"/>
  <c r="M1014"/>
  <c r="M920"/>
  <c r="M922"/>
  <c r="M951"/>
  <c r="M963"/>
  <c r="M965"/>
  <c r="M984"/>
  <c r="M986"/>
  <c r="M1000"/>
  <c r="M1029"/>
  <c r="M1031"/>
  <c r="M1043"/>
  <c r="M1045"/>
  <c r="M1047"/>
  <c r="M689"/>
  <c r="M724"/>
  <c r="M741"/>
  <c r="M725"/>
  <c r="M733"/>
  <c r="M740"/>
  <c r="M714"/>
  <c r="M728"/>
  <c r="M739"/>
  <c r="M681"/>
  <c r="M704"/>
  <c r="M705"/>
  <c r="M706"/>
  <c r="M708"/>
  <c r="M710"/>
  <c r="M711"/>
  <c r="M712"/>
  <c r="M713"/>
  <c r="M732"/>
  <c r="M734"/>
  <c r="M736"/>
  <c r="M737"/>
  <c r="M738"/>
  <c r="M744"/>
  <c r="M745"/>
  <c r="M746"/>
  <c r="M747"/>
  <c r="M748"/>
  <c r="M750"/>
  <c r="M726"/>
  <c r="M727"/>
  <c r="M729"/>
  <c r="M730"/>
  <c r="M731"/>
  <c r="M742"/>
  <c r="M743"/>
  <c r="M715"/>
  <c r="M716"/>
  <c r="M721"/>
  <c r="M722"/>
  <c r="M723"/>
  <c r="M749"/>
  <c r="M735"/>
  <c r="M700"/>
  <c r="M698"/>
  <c r="M697"/>
  <c r="M696"/>
  <c r="M640"/>
  <c r="M642"/>
  <c r="M643"/>
  <c r="M644"/>
  <c r="M648"/>
  <c r="M671"/>
  <c r="M674"/>
  <c r="M675"/>
  <c r="M676"/>
  <c r="M682"/>
  <c r="M683"/>
  <c r="M684"/>
  <c r="M688"/>
  <c r="M692"/>
  <c r="M693"/>
  <c r="M694"/>
  <c r="M695"/>
  <c r="M685"/>
  <c r="M686"/>
  <c r="M687"/>
  <c r="M701"/>
  <c r="M702"/>
  <c r="M703"/>
  <c r="M699"/>
  <c r="M709"/>
  <c r="M672"/>
  <c r="M673"/>
  <c r="M690"/>
  <c r="M691"/>
  <c r="M707"/>
  <c r="M652"/>
  <c r="M653"/>
  <c r="M654"/>
  <c r="M656"/>
  <c r="M655"/>
  <c r="M589"/>
  <c r="M591"/>
  <c r="M593"/>
  <c r="M594"/>
  <c r="M599"/>
  <c r="M603"/>
  <c r="M607"/>
  <c r="M609"/>
  <c r="M610"/>
  <c r="M619"/>
  <c r="M627"/>
  <c r="M628"/>
  <c r="M632"/>
  <c r="M633"/>
  <c r="M634"/>
  <c r="M657"/>
  <c r="M658"/>
  <c r="M660"/>
  <c r="M664"/>
  <c r="M668"/>
  <c r="M670"/>
  <c r="M645"/>
  <c r="M646"/>
  <c r="M647"/>
  <c r="M661"/>
  <c r="M662"/>
  <c r="M663"/>
  <c r="M659"/>
  <c r="M669"/>
  <c r="M629"/>
  <c r="M630"/>
  <c r="M631"/>
  <c r="M649"/>
  <c r="M650"/>
  <c r="M651"/>
  <c r="M665"/>
  <c r="M666"/>
  <c r="M667"/>
  <c r="M625"/>
  <c r="M605"/>
  <c r="M611"/>
  <c r="M617"/>
  <c r="M615"/>
  <c r="M621"/>
  <c r="M623"/>
  <c r="M592"/>
  <c r="M601"/>
  <c r="M604"/>
  <c r="M606"/>
  <c r="M613"/>
  <c r="M616"/>
  <c r="M618"/>
  <c r="M590"/>
  <c r="M600"/>
  <c r="M602"/>
  <c r="M612"/>
  <c r="M614"/>
  <c r="M608"/>
  <c r="M620"/>
  <c r="M622"/>
  <c r="M624"/>
  <c r="M626"/>
  <c r="M1073"/>
  <c r="M1074"/>
  <c r="M1075"/>
  <c r="M1076"/>
  <c r="M1081"/>
  <c r="M1082"/>
  <c r="M1083"/>
  <c r="M1084"/>
  <c r="M1085"/>
  <c r="M1095"/>
  <c r="M1096"/>
  <c r="M1098"/>
  <c r="M1103"/>
  <c r="M1106"/>
  <c r="M1111"/>
  <c r="M1113"/>
  <c r="M1114"/>
  <c r="M1123"/>
  <c r="M1126"/>
  <c r="M1127"/>
  <c r="M1069"/>
  <c r="M1061"/>
  <c r="M1057"/>
  <c r="M1058"/>
  <c r="M1059"/>
  <c r="M1060"/>
  <c r="M1065"/>
  <c r="M1066"/>
  <c r="M1067"/>
  <c r="M1068"/>
  <c r="M1088"/>
  <c r="M1135"/>
  <c r="M1143"/>
  <c r="M1151"/>
  <c r="M1152"/>
  <c r="M1159"/>
  <c r="M1161"/>
  <c r="M1167"/>
  <c r="M1175"/>
  <c r="M1183"/>
  <c r="M1099"/>
  <c r="M1101"/>
  <c r="M1107"/>
  <c r="M1117"/>
  <c r="M1131"/>
  <c r="M1134"/>
  <c r="M1139"/>
  <c r="M1140"/>
  <c r="M1142"/>
  <c r="M1147"/>
  <c r="M1148"/>
  <c r="M1149"/>
  <c r="M1150"/>
  <c r="M1155"/>
  <c r="M1158"/>
  <c r="M1163"/>
  <c r="M1164"/>
  <c r="M1166"/>
  <c r="M1171"/>
  <c r="M1172"/>
  <c r="M1174"/>
  <c r="M1179"/>
  <c r="M1181"/>
  <c r="M1182"/>
  <c r="M1077"/>
  <c r="M1086"/>
  <c r="M1090"/>
  <c r="M1063"/>
  <c r="M1064"/>
  <c r="M1078"/>
  <c r="M1079"/>
  <c r="M1080"/>
  <c r="M1089"/>
  <c r="M1094"/>
  <c r="M1100"/>
  <c r="M1105"/>
  <c r="M1109"/>
  <c r="M1110"/>
  <c r="M1125"/>
  <c r="M1128"/>
  <c r="M1129"/>
  <c r="M1130"/>
  <c r="M1136"/>
  <c r="M1141"/>
  <c r="M1145"/>
  <c r="M1146"/>
  <c r="M1157"/>
  <c r="M1160"/>
  <c r="M1162"/>
  <c r="M1168"/>
  <c r="M1173"/>
  <c r="M1177"/>
  <c r="M1178"/>
  <c r="M1112"/>
  <c r="M1132"/>
  <c r="M1180"/>
  <c r="M1053"/>
  <c r="M1055"/>
  <c r="M1056"/>
  <c r="M1070"/>
  <c r="M1071"/>
  <c r="M1072"/>
  <c r="M1092"/>
  <c r="M1097"/>
  <c r="M1102"/>
  <c r="M1108"/>
  <c r="M1116"/>
  <c r="M1118"/>
  <c r="M1119"/>
  <c r="M1121"/>
  <c r="M1122"/>
  <c r="M1133"/>
  <c r="M1137"/>
  <c r="M1138"/>
  <c r="M1144"/>
  <c r="M1165"/>
  <c r="M1169"/>
  <c r="M1170"/>
  <c r="M1176"/>
  <c r="M1184"/>
  <c r="M1104"/>
  <c r="M1124"/>
  <c r="M1156"/>
  <c r="H857"/>
  <c r="N857"/>
  <c r="O857"/>
  <c r="P857"/>
  <c r="H858"/>
  <c r="N858"/>
  <c r="O858"/>
  <c r="P858"/>
  <c r="H859"/>
  <c r="N859"/>
  <c r="O859"/>
  <c r="P859"/>
  <c r="H860"/>
  <c r="N860"/>
  <c r="O860"/>
  <c r="P860"/>
  <c r="H861"/>
  <c r="N861"/>
  <c r="O861"/>
  <c r="P861"/>
  <c r="H862"/>
  <c r="N862"/>
  <c r="O862"/>
  <c r="P862"/>
  <c r="H863"/>
  <c r="N863"/>
  <c r="O863"/>
  <c r="P863"/>
  <c r="H864"/>
  <c r="N864"/>
  <c r="O864"/>
  <c r="P864"/>
  <c r="N823"/>
  <c r="O823"/>
  <c r="P823"/>
  <c r="N824"/>
  <c r="O824"/>
  <c r="P824"/>
  <c r="N825"/>
  <c r="O825"/>
  <c r="P825"/>
  <c r="N826"/>
  <c r="O826"/>
  <c r="P826"/>
  <c r="N827"/>
  <c r="O827"/>
  <c r="P827"/>
  <c r="H823"/>
  <c r="H824"/>
  <c r="H825"/>
  <c r="H826"/>
  <c r="H827"/>
  <c r="O793"/>
  <c r="P793"/>
  <c r="O794"/>
  <c r="P794"/>
  <c r="O795"/>
  <c r="P795"/>
  <c r="O796"/>
  <c r="P796"/>
  <c r="O797"/>
  <c r="P797"/>
  <c r="H793"/>
  <c r="H794"/>
  <c r="H795"/>
  <c r="H796"/>
  <c r="H797"/>
  <c r="H798"/>
  <c r="H799"/>
  <c r="N763"/>
  <c r="O763"/>
  <c r="P763"/>
  <c r="H763"/>
  <c r="H785"/>
  <c r="N784"/>
  <c r="O784"/>
  <c r="P784"/>
  <c r="N785"/>
  <c r="O785"/>
  <c r="P785"/>
  <c r="H784"/>
  <c r="H783"/>
  <c r="H487"/>
  <c r="P882"/>
  <c r="O882"/>
  <c r="N882"/>
  <c r="H882"/>
  <c r="P881"/>
  <c r="O881"/>
  <c r="N881"/>
  <c r="H881"/>
  <c r="P880"/>
  <c r="O880"/>
  <c r="N880"/>
  <c r="H880"/>
  <c r="P879"/>
  <c r="O879"/>
  <c r="N879"/>
  <c r="H879"/>
  <c r="P878"/>
  <c r="O878"/>
  <c r="N878"/>
  <c r="H878"/>
  <c r="P877"/>
  <c r="O877"/>
  <c r="N877"/>
  <c r="H877"/>
  <c r="P876"/>
  <c r="O876"/>
  <c r="N876"/>
  <c r="H876"/>
  <c r="P875"/>
  <c r="O875"/>
  <c r="N875"/>
  <c r="H875"/>
  <c r="P874"/>
  <c r="O874"/>
  <c r="N874"/>
  <c r="H874"/>
  <c r="P873"/>
  <c r="O873"/>
  <c r="N873"/>
  <c r="H873"/>
  <c r="P872"/>
  <c r="O872"/>
  <c r="N872"/>
  <c r="H872"/>
  <c r="P871"/>
  <c r="O871"/>
  <c r="N871"/>
  <c r="H871"/>
  <c r="P870"/>
  <c r="O870"/>
  <c r="N870"/>
  <c r="H870"/>
  <c r="P869"/>
  <c r="O869"/>
  <c r="N869"/>
  <c r="H869"/>
  <c r="P868"/>
  <c r="O868"/>
  <c r="N868"/>
  <c r="H868"/>
  <c r="P867"/>
  <c r="O867"/>
  <c r="N867"/>
  <c r="H867"/>
  <c r="P866"/>
  <c r="O866"/>
  <c r="N866"/>
  <c r="H866"/>
  <c r="P865"/>
  <c r="O865"/>
  <c r="N865"/>
  <c r="H865"/>
  <c r="P856"/>
  <c r="O856"/>
  <c r="N856"/>
  <c r="H856"/>
  <c r="P855"/>
  <c r="O855"/>
  <c r="N855"/>
  <c r="H855"/>
  <c r="P854"/>
  <c r="O854"/>
  <c r="N854"/>
  <c r="H854"/>
  <c r="P853"/>
  <c r="O853"/>
  <c r="N853"/>
  <c r="H853"/>
  <c r="P852"/>
  <c r="O852"/>
  <c r="N852"/>
  <c r="H852"/>
  <c r="P851"/>
  <c r="O851"/>
  <c r="N851"/>
  <c r="H851"/>
  <c r="P850"/>
  <c r="O850"/>
  <c r="N850"/>
  <c r="H850"/>
  <c r="P849"/>
  <c r="O849"/>
  <c r="N849"/>
  <c r="H849"/>
  <c r="P848"/>
  <c r="O848"/>
  <c r="N848"/>
  <c r="H848"/>
  <c r="P847"/>
  <c r="O847"/>
  <c r="N847"/>
  <c r="H847"/>
  <c r="P846"/>
  <c r="O846"/>
  <c r="N846"/>
  <c r="H846"/>
  <c r="P845"/>
  <c r="O845"/>
  <c r="N845"/>
  <c r="H845"/>
  <c r="P844"/>
  <c r="O844"/>
  <c r="N844"/>
  <c r="H844"/>
  <c r="P843"/>
  <c r="O843"/>
  <c r="N843"/>
  <c r="H843"/>
  <c r="P842"/>
  <c r="O842"/>
  <c r="N842"/>
  <c r="H842"/>
  <c r="P841"/>
  <c r="O841"/>
  <c r="N841"/>
  <c r="H841"/>
  <c r="P840"/>
  <c r="O840"/>
  <c r="N840"/>
  <c r="H840"/>
  <c r="P839"/>
  <c r="O839"/>
  <c r="N839"/>
  <c r="H839"/>
  <c r="P838"/>
  <c r="O838"/>
  <c r="N838"/>
  <c r="H838"/>
  <c r="P837"/>
  <c r="O837"/>
  <c r="N837"/>
  <c r="H837"/>
  <c r="P836"/>
  <c r="O836"/>
  <c r="N836"/>
  <c r="H836"/>
  <c r="P835"/>
  <c r="O835"/>
  <c r="N835"/>
  <c r="H835"/>
  <c r="P834"/>
  <c r="O834"/>
  <c r="N834"/>
  <c r="H834"/>
  <c r="P833"/>
  <c r="O833"/>
  <c r="N833"/>
  <c r="H833"/>
  <c r="P832"/>
  <c r="O832"/>
  <c r="N832"/>
  <c r="H832"/>
  <c r="P831"/>
  <c r="O831"/>
  <c r="N831"/>
  <c r="H831"/>
  <c r="P830"/>
  <c r="O830"/>
  <c r="N830"/>
  <c r="H830"/>
  <c r="P829"/>
  <c r="O829"/>
  <c r="N829"/>
  <c r="H829"/>
  <c r="P828"/>
  <c r="O828"/>
  <c r="N828"/>
  <c r="H828"/>
  <c r="P822"/>
  <c r="O822"/>
  <c r="N822"/>
  <c r="H822"/>
  <c r="P821"/>
  <c r="O821"/>
  <c r="N821"/>
  <c r="H821"/>
  <c r="P820"/>
  <c r="O820"/>
  <c r="N820"/>
  <c r="H820"/>
  <c r="P819"/>
  <c r="O819"/>
  <c r="N819"/>
  <c r="H819"/>
  <c r="P818"/>
  <c r="O818"/>
  <c r="H818"/>
  <c r="P817"/>
  <c r="O817"/>
  <c r="H817"/>
  <c r="P816"/>
  <c r="O816"/>
  <c r="H816"/>
  <c r="P815"/>
  <c r="O815"/>
  <c r="H815"/>
  <c r="P814"/>
  <c r="O814"/>
  <c r="H814"/>
  <c r="P813"/>
  <c r="O813"/>
  <c r="H813"/>
  <c r="P812"/>
  <c r="O812"/>
  <c r="H812"/>
  <c r="P811"/>
  <c r="O811"/>
  <c r="H811"/>
  <c r="P810"/>
  <c r="O810"/>
  <c r="H810"/>
  <c r="P809"/>
  <c r="O809"/>
  <c r="H809"/>
  <c r="P808"/>
  <c r="O808"/>
  <c r="H808"/>
  <c r="P807"/>
  <c r="O807"/>
  <c r="H807"/>
  <c r="P806"/>
  <c r="O806"/>
  <c r="H806"/>
  <c r="P805"/>
  <c r="O805"/>
  <c r="H805"/>
  <c r="P804"/>
  <c r="O804"/>
  <c r="H804"/>
  <c r="P803"/>
  <c r="O803"/>
  <c r="H803"/>
  <c r="P802"/>
  <c r="O802"/>
  <c r="H802"/>
  <c r="P801"/>
  <c r="O801"/>
  <c r="H801"/>
  <c r="P800"/>
  <c r="O800"/>
  <c r="H800"/>
  <c r="P799"/>
  <c r="O799"/>
  <c r="P798"/>
  <c r="O798"/>
  <c r="P792"/>
  <c r="O792"/>
  <c r="H792"/>
  <c r="P791"/>
  <c r="O791"/>
  <c r="H791"/>
  <c r="P790"/>
  <c r="O790"/>
  <c r="H790"/>
  <c r="P789"/>
  <c r="O789"/>
  <c r="H789"/>
  <c r="P788"/>
  <c r="O788"/>
  <c r="H788"/>
  <c r="P787"/>
  <c r="O787"/>
  <c r="N787"/>
  <c r="H787"/>
  <c r="P786"/>
  <c r="O786"/>
  <c r="N786"/>
  <c r="H786"/>
  <c r="P783"/>
  <c r="O783"/>
  <c r="N783"/>
  <c r="P782"/>
  <c r="O782"/>
  <c r="N782"/>
  <c r="H782"/>
  <c r="P781"/>
  <c r="O781"/>
  <c r="N781"/>
  <c r="H781"/>
  <c r="P780"/>
  <c r="O780"/>
  <c r="N780"/>
  <c r="H780"/>
  <c r="P779"/>
  <c r="O779"/>
  <c r="N779"/>
  <c r="H779"/>
  <c r="P778"/>
  <c r="O778"/>
  <c r="N778"/>
  <c r="H778"/>
  <c r="P777"/>
  <c r="O777"/>
  <c r="N777"/>
  <c r="H777"/>
  <c r="P776"/>
  <c r="O776"/>
  <c r="N776"/>
  <c r="H776"/>
  <c r="P775"/>
  <c r="O775"/>
  <c r="N775"/>
  <c r="H775"/>
  <c r="P774"/>
  <c r="O774"/>
  <c r="N774"/>
  <c r="H774"/>
  <c r="P773"/>
  <c r="O773"/>
  <c r="N773"/>
  <c r="H773"/>
  <c r="P772"/>
  <c r="O772"/>
  <c r="N772"/>
  <c r="H772"/>
  <c r="P771"/>
  <c r="O771"/>
  <c r="N771"/>
  <c r="H771"/>
  <c r="P770"/>
  <c r="O770"/>
  <c r="N770"/>
  <c r="H770"/>
  <c r="P769"/>
  <c r="O769"/>
  <c r="N769"/>
  <c r="H769"/>
  <c r="P768"/>
  <c r="O768"/>
  <c r="N768"/>
  <c r="H768"/>
  <c r="P767"/>
  <c r="O767"/>
  <c r="N767"/>
  <c r="H767"/>
  <c r="P766"/>
  <c r="O766"/>
  <c r="N766"/>
  <c r="H766"/>
  <c r="P765"/>
  <c r="O765"/>
  <c r="N765"/>
  <c r="H765"/>
  <c r="P764"/>
  <c r="O764"/>
  <c r="N764"/>
  <c r="H764"/>
  <c r="P762"/>
  <c r="O762"/>
  <c r="N762"/>
  <c r="H762"/>
  <c r="P761"/>
  <c r="O761"/>
  <c r="N761"/>
  <c r="H761"/>
  <c r="P760"/>
  <c r="O760"/>
  <c r="N760"/>
  <c r="H760"/>
  <c r="P759"/>
  <c r="O759"/>
  <c r="N759"/>
  <c r="H759"/>
  <c r="P758"/>
  <c r="O758"/>
  <c r="N758"/>
  <c r="H758"/>
  <c r="P757"/>
  <c r="O757"/>
  <c r="N757"/>
  <c r="H757"/>
  <c r="P756"/>
  <c r="O756"/>
  <c r="N756"/>
  <c r="H756"/>
  <c r="P755"/>
  <c r="O755"/>
  <c r="N755"/>
  <c r="H755"/>
  <c r="D35" i="4"/>
  <c r="E35" s="1"/>
  <c r="I35" s="1"/>
  <c r="G46"/>
  <c r="G41"/>
  <c r="G37"/>
  <c r="J34"/>
  <c r="I34"/>
  <c r="D18"/>
  <c r="E18" s="1"/>
  <c r="F18" s="1"/>
  <c r="G24"/>
  <c r="G29"/>
  <c r="BN7" i="35" l="1"/>
  <c r="S1050" i="7"/>
  <c r="AN59" i="35"/>
  <c r="BL59" s="1"/>
  <c r="BN59" s="1"/>
  <c r="AN58"/>
  <c r="BL58" s="1"/>
  <c r="BN58" s="1"/>
  <c r="M790" i="7"/>
  <c r="M798"/>
  <c r="M801"/>
  <c r="M805"/>
  <c r="M809"/>
  <c r="M813"/>
  <c r="M817"/>
  <c r="AN113" i="35"/>
  <c r="BL73"/>
  <c r="BN73" s="1"/>
  <c r="BN57"/>
  <c r="BO57"/>
  <c r="R927" i="7"/>
  <c r="R969"/>
  <c r="R1009"/>
  <c r="R1049"/>
  <c r="R750"/>
  <c r="M802"/>
  <c r="M810"/>
  <c r="M818"/>
  <c r="R710"/>
  <c r="R670"/>
  <c r="R1151"/>
  <c r="R628"/>
  <c r="M796"/>
  <c r="M794"/>
  <c r="M788"/>
  <c r="M792"/>
  <c r="M799"/>
  <c r="M803"/>
  <c r="M807"/>
  <c r="M811"/>
  <c r="M815"/>
  <c r="R1184"/>
  <c r="R1085"/>
  <c r="M806"/>
  <c r="M814"/>
  <c r="M804"/>
  <c r="M812"/>
  <c r="M791"/>
  <c r="M797"/>
  <c r="M795"/>
  <c r="M793"/>
  <c r="M789"/>
  <c r="M800"/>
  <c r="M808"/>
  <c r="M816"/>
  <c r="M824"/>
  <c r="M827"/>
  <c r="M823"/>
  <c r="M826"/>
  <c r="M864"/>
  <c r="M862"/>
  <c r="M860"/>
  <c r="M858"/>
  <c r="M857"/>
  <c r="M825"/>
  <c r="M863"/>
  <c r="M859"/>
  <c r="M861"/>
  <c r="M763"/>
  <c r="M866"/>
  <c r="M835"/>
  <c r="M843"/>
  <c r="M872"/>
  <c r="M876"/>
  <c r="M880"/>
  <c r="M882"/>
  <c r="M833"/>
  <c r="M849"/>
  <c r="M850"/>
  <c r="M852"/>
  <c r="M856"/>
  <c r="M865"/>
  <c r="M870"/>
  <c r="M784"/>
  <c r="M785"/>
  <c r="M821"/>
  <c r="M837"/>
  <c r="M838"/>
  <c r="M840"/>
  <c r="M841"/>
  <c r="M845"/>
  <c r="M846"/>
  <c r="M848"/>
  <c r="M874"/>
  <c r="M878"/>
  <c r="M820"/>
  <c r="M829"/>
  <c r="M830"/>
  <c r="M832"/>
  <c r="M854"/>
  <c r="M867"/>
  <c r="M869"/>
  <c r="M787"/>
  <c r="M831"/>
  <c r="M834"/>
  <c r="M836"/>
  <c r="M847"/>
  <c r="M879"/>
  <c r="M881"/>
  <c r="M819"/>
  <c r="M822"/>
  <c r="M828"/>
  <c r="M839"/>
  <c r="M842"/>
  <c r="M844"/>
  <c r="M853"/>
  <c r="M855"/>
  <c r="M875"/>
  <c r="M877"/>
  <c r="M851"/>
  <c r="M868"/>
  <c r="M871"/>
  <c r="M873"/>
  <c r="M757"/>
  <c r="M766"/>
  <c r="M774"/>
  <c r="M778"/>
  <c r="M755"/>
  <c r="M756"/>
  <c r="M758"/>
  <c r="M759"/>
  <c r="M760"/>
  <c r="M762"/>
  <c r="M764"/>
  <c r="M768"/>
  <c r="M772"/>
  <c r="M776"/>
  <c r="M780"/>
  <c r="M781"/>
  <c r="M770"/>
  <c r="M786"/>
  <c r="M761"/>
  <c r="M765"/>
  <c r="M767"/>
  <c r="M783"/>
  <c r="M777"/>
  <c r="M779"/>
  <c r="M773"/>
  <c r="M775"/>
  <c r="M769"/>
  <c r="M771"/>
  <c r="M782"/>
  <c r="G36" i="4"/>
  <c r="G34" s="1"/>
  <c r="F35"/>
  <c r="K34" l="1"/>
  <c r="H34"/>
  <c r="L34" s="1"/>
  <c r="BM73" i="35"/>
  <c r="BO73"/>
  <c r="BO109" s="1"/>
  <c r="BN109"/>
  <c r="R850" i="7"/>
  <c r="R818"/>
  <c r="R786"/>
  <c r="G35" i="4"/>
  <c r="J35"/>
  <c r="K35" l="1"/>
  <c r="H35"/>
  <c r="L35" s="1"/>
  <c r="V43" i="39"/>
  <c r="V98" s="1"/>
  <c r="G20" i="4"/>
  <c r="G19" s="1"/>
  <c r="G18" l="1"/>
  <c r="H18" s="1"/>
  <c r="L18" s="1"/>
  <c r="G17"/>
  <c r="H17" s="1"/>
  <c r="L17" s="1"/>
  <c r="F20" i="14" l="1"/>
  <c r="E20"/>
  <c r="D20"/>
  <c r="C20"/>
  <c r="K883" i="7" l="1"/>
  <c r="J883"/>
  <c r="I883"/>
  <c r="Q751"/>
  <c r="N751"/>
  <c r="N753" l="1"/>
  <c r="H883"/>
  <c r="F5" i="4" s="1"/>
  <c r="P883" i="7"/>
  <c r="H751"/>
  <c r="U596" s="1"/>
  <c r="P751"/>
  <c r="O883"/>
  <c r="O885" s="1"/>
  <c r="O751"/>
  <c r="O753" s="1"/>
  <c r="N883"/>
  <c r="N885" s="1"/>
  <c r="L110" i="34"/>
  <c r="L106"/>
  <c r="L99"/>
  <c r="M883" i="7" l="1"/>
  <c r="M751"/>
  <c r="L90" i="34"/>
  <c r="C110" l="1"/>
  <c r="C106"/>
  <c r="C99"/>
  <c r="C94"/>
  <c r="C118" s="1"/>
  <c r="C151" s="1"/>
  <c r="C90"/>
  <c r="C86"/>
  <c r="C46"/>
  <c r="C6"/>
  <c r="H110"/>
  <c r="G110"/>
  <c r="F110"/>
  <c r="E110"/>
  <c r="D110"/>
  <c r="H106"/>
  <c r="G106"/>
  <c r="F106"/>
  <c r="E106"/>
  <c r="D106"/>
  <c r="H99"/>
  <c r="G99"/>
  <c r="F99"/>
  <c r="E99"/>
  <c r="D99"/>
  <c r="H94"/>
  <c r="H118" s="1"/>
  <c r="H151" s="1"/>
  <c r="G94"/>
  <c r="G118" s="1"/>
  <c r="G151" s="1"/>
  <c r="F94"/>
  <c r="F118" s="1"/>
  <c r="F151" s="1"/>
  <c r="E94"/>
  <c r="E118" s="1"/>
  <c r="E151" s="1"/>
  <c r="D94"/>
  <c r="D118" s="1"/>
  <c r="D151" s="1"/>
  <c r="H90"/>
  <c r="G90"/>
  <c r="F90"/>
  <c r="E90"/>
  <c r="D90"/>
  <c r="L86"/>
  <c r="D86"/>
  <c r="H86"/>
  <c r="G86"/>
  <c r="F86"/>
  <c r="E86"/>
  <c r="E46"/>
  <c r="H46"/>
  <c r="G46"/>
  <c r="F46"/>
  <c r="D46"/>
  <c r="H6"/>
  <c r="G6"/>
  <c r="F6"/>
  <c r="E6"/>
  <c r="D6"/>
  <c r="H98" l="1"/>
  <c r="H119" s="1"/>
  <c r="H152" s="1"/>
  <c r="G98"/>
  <c r="G117" s="1"/>
  <c r="G150" s="1"/>
  <c r="C98"/>
  <c r="C119" s="1"/>
  <c r="C152" s="1"/>
  <c r="L46"/>
  <c r="L6"/>
  <c r="E98"/>
  <c r="E117" s="1"/>
  <c r="E150" s="1"/>
  <c r="F98"/>
  <c r="D98"/>
  <c r="BO20" i="12" l="1"/>
  <c r="CA20"/>
  <c r="F119" i="34"/>
  <c r="F152" s="1"/>
  <c r="F117"/>
  <c r="F150" s="1"/>
  <c r="E119"/>
  <c r="E152" s="1"/>
  <c r="L98"/>
  <c r="G119"/>
  <c r="G152" s="1"/>
  <c r="H117"/>
  <c r="H150" s="1"/>
  <c r="C117"/>
  <c r="C150" s="1"/>
  <c r="D119"/>
  <c r="D152" s="1"/>
  <c r="D117"/>
  <c r="D150" s="1"/>
  <c r="CA17" i="12" l="1"/>
  <c r="BZ17" s="1"/>
  <c r="BZ20"/>
  <c r="CG20"/>
  <c r="BV52"/>
  <c r="BU52"/>
  <c r="BQ52"/>
  <c r="BN52"/>
  <c r="BK52"/>
  <c r="BV51"/>
  <c r="BU51"/>
  <c r="BQ51"/>
  <c r="BN51"/>
  <c r="BK51"/>
  <c r="BV50"/>
  <c r="BU50"/>
  <c r="BQ50"/>
  <c r="BN50"/>
  <c r="BK50"/>
  <c r="BS49"/>
  <c r="BR49"/>
  <c r="BP49"/>
  <c r="BO49"/>
  <c r="BM49"/>
  <c r="BL49"/>
  <c r="BV48"/>
  <c r="BU48"/>
  <c r="BQ48"/>
  <c r="BN48"/>
  <c r="BK48"/>
  <c r="BV47"/>
  <c r="BU47"/>
  <c r="BQ47"/>
  <c r="BN47"/>
  <c r="BK47"/>
  <c r="BV46"/>
  <c r="BU46"/>
  <c r="BQ46"/>
  <c r="BN46"/>
  <c r="BK46"/>
  <c r="BS45"/>
  <c r="BR45"/>
  <c r="BQ45" s="1"/>
  <c r="BP45"/>
  <c r="BO45"/>
  <c r="BM45"/>
  <c r="BL45"/>
  <c r="BV44"/>
  <c r="BU44"/>
  <c r="BQ44"/>
  <c r="BN44"/>
  <c r="BK44"/>
  <c r="BV43"/>
  <c r="BU43"/>
  <c r="BQ43"/>
  <c r="BN43"/>
  <c r="BK43"/>
  <c r="BV42"/>
  <c r="BU42"/>
  <c r="BQ42"/>
  <c r="BN42"/>
  <c r="BK42"/>
  <c r="BS41"/>
  <c r="BR41"/>
  <c r="BP41"/>
  <c r="BO41"/>
  <c r="BM41"/>
  <c r="BL41"/>
  <c r="BV40"/>
  <c r="BU40"/>
  <c r="BQ40"/>
  <c r="BN40"/>
  <c r="BK40"/>
  <c r="BV39"/>
  <c r="BU39"/>
  <c r="BQ39"/>
  <c r="BN39"/>
  <c r="BK39"/>
  <c r="BV38"/>
  <c r="BU38"/>
  <c r="BQ38"/>
  <c r="BN38"/>
  <c r="BK38"/>
  <c r="BS37"/>
  <c r="BR37"/>
  <c r="BP37"/>
  <c r="BO37"/>
  <c r="BM37"/>
  <c r="BL37"/>
  <c r="BV36"/>
  <c r="BU36"/>
  <c r="BT36" s="1"/>
  <c r="BQ36"/>
  <c r="BN36"/>
  <c r="BK36"/>
  <c r="BV35"/>
  <c r="BU35"/>
  <c r="BQ35"/>
  <c r="BN35"/>
  <c r="BK35"/>
  <c r="BV34"/>
  <c r="BU34"/>
  <c r="BQ34"/>
  <c r="BN34"/>
  <c r="BK34"/>
  <c r="BS33"/>
  <c r="BR33"/>
  <c r="BP33"/>
  <c r="BO33"/>
  <c r="BM33"/>
  <c r="BL33"/>
  <c r="BV32"/>
  <c r="BU32"/>
  <c r="BQ32"/>
  <c r="BN32"/>
  <c r="BK32"/>
  <c r="BV31"/>
  <c r="BU31"/>
  <c r="BQ31"/>
  <c r="BN31"/>
  <c r="BK31"/>
  <c r="BV30"/>
  <c r="BU30"/>
  <c r="BQ30"/>
  <c r="BN30"/>
  <c r="BK30"/>
  <c r="BS29"/>
  <c r="BR29"/>
  <c r="BP29"/>
  <c r="BO29"/>
  <c r="BM29"/>
  <c r="BL29"/>
  <c r="BV28"/>
  <c r="BU28"/>
  <c r="BQ28"/>
  <c r="BN28"/>
  <c r="BK28"/>
  <c r="BV27"/>
  <c r="BU27"/>
  <c r="BQ27"/>
  <c r="BN27"/>
  <c r="BK27"/>
  <c r="BV26"/>
  <c r="BU26"/>
  <c r="BQ26"/>
  <c r="BN26"/>
  <c r="BK26"/>
  <c r="BS25"/>
  <c r="BR25"/>
  <c r="BP25"/>
  <c r="BO25"/>
  <c r="BM25"/>
  <c r="BL25"/>
  <c r="BV24"/>
  <c r="BU24"/>
  <c r="BQ24"/>
  <c r="BN24"/>
  <c r="BK24"/>
  <c r="BV23"/>
  <c r="BU23"/>
  <c r="BQ23"/>
  <c r="BN23"/>
  <c r="BK23"/>
  <c r="BV22"/>
  <c r="BU22"/>
  <c r="BQ22"/>
  <c r="BN22"/>
  <c r="BK22"/>
  <c r="BS21"/>
  <c r="BR21"/>
  <c r="BP21"/>
  <c r="BO21"/>
  <c r="BN21" s="1"/>
  <c r="BM21"/>
  <c r="BL21"/>
  <c r="BV20"/>
  <c r="BU20"/>
  <c r="P100" i="39" s="1"/>
  <c r="BQ20" i="12"/>
  <c r="BN20"/>
  <c r="BK20"/>
  <c r="BV19"/>
  <c r="R102" i="39" s="1"/>
  <c r="BU19" i="12"/>
  <c r="P102" i="39" s="1"/>
  <c r="BQ19" i="12"/>
  <c r="BN19"/>
  <c r="BK19"/>
  <c r="BV18"/>
  <c r="BU18"/>
  <c r="BQ18"/>
  <c r="BN18"/>
  <c r="BK18"/>
  <c r="BS17"/>
  <c r="BR17"/>
  <c r="BP17"/>
  <c r="BO17"/>
  <c r="BM17"/>
  <c r="BL17"/>
  <c r="BV16"/>
  <c r="BK16"/>
  <c r="BV15"/>
  <c r="BK15"/>
  <c r="BV14"/>
  <c r="BU14"/>
  <c r="BQ14"/>
  <c r="BN14"/>
  <c r="BK14"/>
  <c r="BS13"/>
  <c r="BP13"/>
  <c r="BM13"/>
  <c r="BL13"/>
  <c r="T100" i="39" l="1"/>
  <c r="CF20" i="12"/>
  <c r="CG17"/>
  <c r="CF17" s="1"/>
  <c r="R100" i="39"/>
  <c r="R105" s="1"/>
  <c r="O102"/>
  <c r="BT39" i="12"/>
  <c r="P105" i="39"/>
  <c r="BT18" i="12"/>
  <c r="BU21"/>
  <c r="BN29"/>
  <c r="BT34"/>
  <c r="BV13"/>
  <c r="BQ37"/>
  <c r="BK17"/>
  <c r="BQ17"/>
  <c r="BT27"/>
  <c r="BQ33"/>
  <c r="BV37"/>
  <c r="BK37"/>
  <c r="BN33"/>
  <c r="BT35"/>
  <c r="BT48"/>
  <c r="BN49"/>
  <c r="BT51"/>
  <c r="BT42"/>
  <c r="BU17"/>
  <c r="BK25"/>
  <c r="BQ25"/>
  <c r="BU37"/>
  <c r="BT37" s="1"/>
  <c r="BK41"/>
  <c r="BT44"/>
  <c r="BQ21"/>
  <c r="BN25"/>
  <c r="BN41"/>
  <c r="BU45"/>
  <c r="BT24"/>
  <c r="BT26"/>
  <c r="BK29"/>
  <c r="BQ29"/>
  <c r="BU33"/>
  <c r="BN45"/>
  <c r="BT46"/>
  <c r="BV21"/>
  <c r="BT21" s="1"/>
  <c r="BU25"/>
  <c r="BU49"/>
  <c r="BT14"/>
  <c r="BN17"/>
  <c r="BT28"/>
  <c r="BT30"/>
  <c r="BU29"/>
  <c r="BT47"/>
  <c r="BT50"/>
  <c r="BT40"/>
  <c r="BV41"/>
  <c r="BU41"/>
  <c r="BK45"/>
  <c r="BV45"/>
  <c r="BT52"/>
  <c r="BT22"/>
  <c r="BK33"/>
  <c r="BT19"/>
  <c r="BK21"/>
  <c r="BK13"/>
  <c r="BT20"/>
  <c r="BT23"/>
  <c r="BT32"/>
  <c r="BT38"/>
  <c r="BQ41"/>
  <c r="BT43"/>
  <c r="BK49"/>
  <c r="BQ49"/>
  <c r="BT31"/>
  <c r="BV17"/>
  <c r="BV25"/>
  <c r="BT25" s="1"/>
  <c r="BV33"/>
  <c r="BT33" s="1"/>
  <c r="BN37"/>
  <c r="BV29"/>
  <c r="BV49"/>
  <c r="BT49" s="1"/>
  <c r="O100" i="39" l="1"/>
  <c r="C31" i="13"/>
  <c r="D5" s="1"/>
  <c r="S100" i="39"/>
  <c r="T105"/>
  <c r="S105" s="1"/>
  <c r="O105"/>
  <c r="BT17" i="12"/>
  <c r="BT45"/>
  <c r="BT29"/>
  <c r="BT41"/>
  <c r="J19" i="15"/>
  <c r="N19" s="1"/>
  <c r="J18"/>
  <c r="N18" s="1"/>
  <c r="J17"/>
  <c r="I16"/>
  <c r="J14"/>
  <c r="N14" s="1"/>
  <c r="J13"/>
  <c r="N13" s="1"/>
  <c r="J12"/>
  <c r="I11"/>
  <c r="J9"/>
  <c r="N9" s="1"/>
  <c r="J8"/>
  <c r="N8" s="1"/>
  <c r="J7"/>
  <c r="D19"/>
  <c r="H19" s="1"/>
  <c r="D18"/>
  <c r="H18" s="1"/>
  <c r="D17"/>
  <c r="C16"/>
  <c r="D14"/>
  <c r="H14" s="1"/>
  <c r="D13"/>
  <c r="H13" s="1"/>
  <c r="D12"/>
  <c r="C11"/>
  <c r="H9"/>
  <c r="D9"/>
  <c r="D8"/>
  <c r="H8" s="1"/>
  <c r="D7"/>
  <c r="D11" s="1"/>
  <c r="D4" i="13" l="1"/>
  <c r="D6" s="1"/>
  <c r="D7" s="1"/>
  <c r="I23" i="15"/>
  <c r="D16"/>
  <c r="C23"/>
  <c r="J16"/>
  <c r="J11"/>
  <c r="S28" i="2" l="1"/>
  <c r="U7"/>
  <c r="U15"/>
  <c r="U14"/>
  <c r="U13"/>
  <c r="U11"/>
  <c r="U10"/>
  <c r="U8"/>
  <c r="U6"/>
  <c r="K14"/>
  <c r="P14"/>
  <c r="P7"/>
  <c r="F7"/>
  <c r="K7"/>
  <c r="I11"/>
  <c r="I8"/>
  <c r="U18" l="1"/>
  <c r="P38" i="39" s="1"/>
  <c r="O38" s="1"/>
  <c r="G11" i="4"/>
  <c r="AB28" i="2"/>
  <c r="I1354" i="7" s="1"/>
  <c r="E59" i="4"/>
  <c r="I18" i="2"/>
  <c r="E7" i="4"/>
  <c r="I17" i="2"/>
  <c r="U16"/>
  <c r="U17"/>
  <c r="P37" i="39" s="1"/>
  <c r="O37" s="1"/>
  <c r="N8" i="2"/>
  <c r="K35"/>
  <c r="K34"/>
  <c r="K33"/>
  <c r="K32"/>
  <c r="K27"/>
  <c r="K26"/>
  <c r="K25"/>
  <c r="K24"/>
  <c r="AH118" i="35" l="1"/>
  <c r="AN118" s="1"/>
  <c r="H12" i="4"/>
  <c r="AA8" i="2"/>
  <c r="F7" i="4"/>
  <c r="N17" i="2"/>
  <c r="AA17" s="1"/>
  <c r="I1422" i="7"/>
  <c r="I1389"/>
  <c r="I1356"/>
  <c r="I1359"/>
  <c r="I1455"/>
  <c r="I1438"/>
  <c r="I1372"/>
  <c r="I1426"/>
  <c r="I1360"/>
  <c r="I1430"/>
  <c r="I1364"/>
  <c r="I1434"/>
  <c r="I1368"/>
  <c r="I1457"/>
  <c r="I1424"/>
  <c r="I1391"/>
  <c r="I1358"/>
  <c r="I1461"/>
  <c r="I1428"/>
  <c r="I1395"/>
  <c r="I1362"/>
  <c r="I1472"/>
  <c r="I1456"/>
  <c r="I1439"/>
  <c r="I1423"/>
  <c r="I1406"/>
  <c r="I1390"/>
  <c r="I1373"/>
  <c r="I1357"/>
  <c r="I1474"/>
  <c r="I1458"/>
  <c r="I1441"/>
  <c r="I1425"/>
  <c r="I1408"/>
  <c r="I1387"/>
  <c r="I1371"/>
  <c r="I1363"/>
  <c r="I1409"/>
  <c r="I1417"/>
  <c r="I1415"/>
  <c r="I1452"/>
  <c r="I1386"/>
  <c r="I1451"/>
  <c r="I1402"/>
  <c r="I1486"/>
  <c r="I1453"/>
  <c r="I1400"/>
  <c r="I1454"/>
  <c r="I1388"/>
  <c r="I1442"/>
  <c r="I1376"/>
  <c r="I1446"/>
  <c r="I1380"/>
  <c r="I1450"/>
  <c r="I1384"/>
  <c r="I1465"/>
  <c r="I1432"/>
  <c r="I1399"/>
  <c r="I1366"/>
  <c r="I1469"/>
  <c r="I1436"/>
  <c r="I1403"/>
  <c r="I1370"/>
  <c r="I1476"/>
  <c r="I1460"/>
  <c r="I1443"/>
  <c r="I1427"/>
  <c r="I1410"/>
  <c r="I1394"/>
  <c r="I1377"/>
  <c r="I1361"/>
  <c r="I1478"/>
  <c r="I1462"/>
  <c r="I1445"/>
  <c r="I1429"/>
  <c r="I1412"/>
  <c r="I1392"/>
  <c r="I1375"/>
  <c r="I1379"/>
  <c r="I1355"/>
  <c r="I1475"/>
  <c r="I1479"/>
  <c r="I1483"/>
  <c r="I1481"/>
  <c r="I1382"/>
  <c r="I1419"/>
  <c r="I1484"/>
  <c r="I1435"/>
  <c r="I1385"/>
  <c r="I1470"/>
  <c r="I1437"/>
  <c r="I1383"/>
  <c r="I1471"/>
  <c r="I1405"/>
  <c r="I1459"/>
  <c r="I1393"/>
  <c r="I1463"/>
  <c r="I1397"/>
  <c r="I1467"/>
  <c r="I1401"/>
  <c r="I1473"/>
  <c r="I1440"/>
  <c r="I1407"/>
  <c r="I1374"/>
  <c r="I1477"/>
  <c r="I1444"/>
  <c r="I1411"/>
  <c r="I1378"/>
  <c r="I1480"/>
  <c r="I1464"/>
  <c r="I1447"/>
  <c r="I1431"/>
  <c r="I1414"/>
  <c r="I1398"/>
  <c r="I1381"/>
  <c r="I1365"/>
  <c r="I1482"/>
  <c r="I1466"/>
  <c r="I1449"/>
  <c r="I1433"/>
  <c r="I1416"/>
  <c r="I1396"/>
  <c r="I1421"/>
  <c r="I1413"/>
  <c r="I1448"/>
  <c r="I1485"/>
  <c r="I1468"/>
  <c r="I1418"/>
  <c r="I1369"/>
  <c r="I1420"/>
  <c r="I1367"/>
  <c r="I1404"/>
  <c r="F9" i="4"/>
  <c r="H1404" i="7" l="1"/>
  <c r="N1404"/>
  <c r="M1404" s="1"/>
  <c r="H1413"/>
  <c r="N1413"/>
  <c r="M1413" s="1"/>
  <c r="H1365"/>
  <c r="N1365"/>
  <c r="M1365" s="1"/>
  <c r="H1378"/>
  <c r="N1378"/>
  <c r="M1378" s="1"/>
  <c r="H1374"/>
  <c r="N1374"/>
  <c r="M1374" s="1"/>
  <c r="H1401"/>
  <c r="N1401"/>
  <c r="M1401" s="1"/>
  <c r="H1393"/>
  <c r="N1393"/>
  <c r="M1393" s="1"/>
  <c r="H1383"/>
  <c r="N1383"/>
  <c r="M1383" s="1"/>
  <c r="H1435"/>
  <c r="N1435"/>
  <c r="M1435" s="1"/>
  <c r="H1481"/>
  <c r="N1481"/>
  <c r="M1481" s="1"/>
  <c r="H1355"/>
  <c r="N1355"/>
  <c r="M1355" s="1"/>
  <c r="H1412"/>
  <c r="N1412"/>
  <c r="M1412" s="1"/>
  <c r="H1478"/>
  <c r="N1478"/>
  <c r="M1478" s="1"/>
  <c r="H1410"/>
  <c r="N1410"/>
  <c r="M1410" s="1"/>
  <c r="H1476"/>
  <c r="N1476"/>
  <c r="M1476" s="1"/>
  <c r="H1469"/>
  <c r="N1469"/>
  <c r="M1469" s="1"/>
  <c r="H1465"/>
  <c r="N1465"/>
  <c r="M1465" s="1"/>
  <c r="H1446"/>
  <c r="N1446"/>
  <c r="M1446" s="1"/>
  <c r="H1454"/>
  <c r="N1454"/>
  <c r="M1454" s="1"/>
  <c r="H1402"/>
  <c r="N1402"/>
  <c r="M1402" s="1"/>
  <c r="H1415"/>
  <c r="N1415"/>
  <c r="M1415" s="1"/>
  <c r="H1371"/>
  <c r="N1371"/>
  <c r="M1371" s="1"/>
  <c r="H1441"/>
  <c r="N1441"/>
  <c r="M1441" s="1"/>
  <c r="H1373"/>
  <c r="N1373"/>
  <c r="M1373" s="1"/>
  <c r="H1439"/>
  <c r="N1439"/>
  <c r="M1439" s="1"/>
  <c r="H1395"/>
  <c r="N1395"/>
  <c r="M1395" s="1"/>
  <c r="H1391"/>
  <c r="N1391"/>
  <c r="M1391" s="1"/>
  <c r="H1434"/>
  <c r="N1434"/>
  <c r="M1434" s="1"/>
  <c r="H1426"/>
  <c r="N1426"/>
  <c r="M1426" s="1"/>
  <c r="H1359"/>
  <c r="N1359"/>
  <c r="M1359" s="1"/>
  <c r="H1418"/>
  <c r="N1418"/>
  <c r="M1418" s="1"/>
  <c r="H1433"/>
  <c r="N1433"/>
  <c r="M1433" s="1"/>
  <c r="H1431"/>
  <c r="N1431"/>
  <c r="M1431" s="1"/>
  <c r="H1369"/>
  <c r="N1369"/>
  <c r="M1369" s="1"/>
  <c r="H1448"/>
  <c r="N1448"/>
  <c r="M1448" s="1"/>
  <c r="H1416"/>
  <c r="N1416"/>
  <c r="M1416" s="1"/>
  <c r="H1482"/>
  <c r="N1482"/>
  <c r="M1482" s="1"/>
  <c r="H1414"/>
  <c r="N1414"/>
  <c r="M1414" s="1"/>
  <c r="H1480"/>
  <c r="N1480"/>
  <c r="M1480" s="1"/>
  <c r="H1477"/>
  <c r="N1477"/>
  <c r="M1477" s="1"/>
  <c r="H1473"/>
  <c r="N1473"/>
  <c r="M1473" s="1"/>
  <c r="H1463"/>
  <c r="N1463"/>
  <c r="M1463" s="1"/>
  <c r="H1471"/>
  <c r="N1471"/>
  <c r="M1471" s="1"/>
  <c r="H1385"/>
  <c r="N1385"/>
  <c r="M1385" s="1"/>
  <c r="H1382"/>
  <c r="N1382"/>
  <c r="M1382" s="1"/>
  <c r="H1475"/>
  <c r="N1475"/>
  <c r="M1475" s="1"/>
  <c r="H1392"/>
  <c r="N1392"/>
  <c r="M1392" s="1"/>
  <c r="H1462"/>
  <c r="N1462"/>
  <c r="M1462" s="1"/>
  <c r="H1394"/>
  <c r="N1394"/>
  <c r="M1394" s="1"/>
  <c r="H1460"/>
  <c r="N1460"/>
  <c r="M1460" s="1"/>
  <c r="H1436"/>
  <c r="N1436"/>
  <c r="M1436" s="1"/>
  <c r="H1432"/>
  <c r="N1432"/>
  <c r="M1432" s="1"/>
  <c r="H1380"/>
  <c r="N1380"/>
  <c r="M1380" s="1"/>
  <c r="H1388"/>
  <c r="N1388"/>
  <c r="M1388" s="1"/>
  <c r="H1486"/>
  <c r="N1486"/>
  <c r="M1486" s="1"/>
  <c r="H1452"/>
  <c r="N1452"/>
  <c r="M1452" s="1"/>
  <c r="H1363"/>
  <c r="N1363"/>
  <c r="M1363" s="1"/>
  <c r="H1425"/>
  <c r="N1425"/>
  <c r="M1425" s="1"/>
  <c r="H1357"/>
  <c r="N1357"/>
  <c r="M1357" s="1"/>
  <c r="H1423"/>
  <c r="N1423"/>
  <c r="M1423" s="1"/>
  <c r="H1362"/>
  <c r="N1362"/>
  <c r="M1362" s="1"/>
  <c r="H1358"/>
  <c r="N1358"/>
  <c r="M1358" s="1"/>
  <c r="H1368"/>
  <c r="N1368"/>
  <c r="M1368" s="1"/>
  <c r="H1360"/>
  <c r="N1360"/>
  <c r="M1360" s="1"/>
  <c r="N1455"/>
  <c r="M1455" s="1"/>
  <c r="H1455"/>
  <c r="N1422"/>
  <c r="M1422" s="1"/>
  <c r="H1422"/>
  <c r="H1420"/>
  <c r="N1420"/>
  <c r="M1420" s="1"/>
  <c r="H1396"/>
  <c r="N1396"/>
  <c r="M1396" s="1"/>
  <c r="H1398"/>
  <c r="N1398"/>
  <c r="M1398" s="1"/>
  <c r="H1444"/>
  <c r="N1444"/>
  <c r="M1444" s="1"/>
  <c r="H1397"/>
  <c r="N1397"/>
  <c r="M1397" s="1"/>
  <c r="H1405"/>
  <c r="N1405"/>
  <c r="M1405" s="1"/>
  <c r="H1470"/>
  <c r="N1470"/>
  <c r="M1470" s="1"/>
  <c r="H1419"/>
  <c r="N1419"/>
  <c r="M1419" s="1"/>
  <c r="H1479"/>
  <c r="N1479"/>
  <c r="M1479" s="1"/>
  <c r="H1375"/>
  <c r="N1375"/>
  <c r="M1375" s="1"/>
  <c r="H1445"/>
  <c r="N1445"/>
  <c r="M1445" s="1"/>
  <c r="H1377"/>
  <c r="N1377"/>
  <c r="M1377" s="1"/>
  <c r="H1443"/>
  <c r="N1443"/>
  <c r="M1443" s="1"/>
  <c r="H1403"/>
  <c r="N1403"/>
  <c r="M1403" s="1"/>
  <c r="H1399"/>
  <c r="N1399"/>
  <c r="M1399" s="1"/>
  <c r="H1450"/>
  <c r="N1450"/>
  <c r="M1450" s="1"/>
  <c r="H1442"/>
  <c r="N1442"/>
  <c r="M1442" s="1"/>
  <c r="H1453"/>
  <c r="N1453"/>
  <c r="M1453" s="1"/>
  <c r="H1386"/>
  <c r="N1386"/>
  <c r="M1386" s="1"/>
  <c r="H1409"/>
  <c r="N1409"/>
  <c r="M1409" s="1"/>
  <c r="H1408"/>
  <c r="N1408"/>
  <c r="M1408" s="1"/>
  <c r="H1474"/>
  <c r="N1474"/>
  <c r="M1474" s="1"/>
  <c r="H1406"/>
  <c r="N1406"/>
  <c r="M1406" s="1"/>
  <c r="H1472"/>
  <c r="N1472"/>
  <c r="M1472" s="1"/>
  <c r="H1461"/>
  <c r="N1461"/>
  <c r="M1461" s="1"/>
  <c r="H1457"/>
  <c r="N1457"/>
  <c r="M1457" s="1"/>
  <c r="H1430"/>
  <c r="N1430"/>
  <c r="M1430" s="1"/>
  <c r="H1438"/>
  <c r="N1438"/>
  <c r="M1438" s="1"/>
  <c r="N1389"/>
  <c r="M1389" s="1"/>
  <c r="H1389"/>
  <c r="H1485"/>
  <c r="N1485"/>
  <c r="M1485" s="1"/>
  <c r="H1466"/>
  <c r="N1466"/>
  <c r="M1466" s="1"/>
  <c r="H1464"/>
  <c r="N1464"/>
  <c r="M1464" s="1"/>
  <c r="H1440"/>
  <c r="N1440"/>
  <c r="M1440" s="1"/>
  <c r="H1367"/>
  <c r="N1367"/>
  <c r="M1367" s="1"/>
  <c r="H1468"/>
  <c r="N1468"/>
  <c r="M1468" s="1"/>
  <c r="H1421"/>
  <c r="N1421"/>
  <c r="M1421" s="1"/>
  <c r="H1449"/>
  <c r="N1449"/>
  <c r="M1449" s="1"/>
  <c r="H1381"/>
  <c r="N1381"/>
  <c r="M1381" s="1"/>
  <c r="H1447"/>
  <c r="N1447"/>
  <c r="M1447" s="1"/>
  <c r="H1411"/>
  <c r="N1411"/>
  <c r="M1411" s="1"/>
  <c r="H1407"/>
  <c r="N1407"/>
  <c r="M1407" s="1"/>
  <c r="H1467"/>
  <c r="N1467"/>
  <c r="M1467" s="1"/>
  <c r="H1459"/>
  <c r="N1459"/>
  <c r="M1459" s="1"/>
  <c r="H1437"/>
  <c r="N1437"/>
  <c r="M1437" s="1"/>
  <c r="H1484"/>
  <c r="N1484"/>
  <c r="M1484" s="1"/>
  <c r="H1483"/>
  <c r="N1483"/>
  <c r="M1483" s="1"/>
  <c r="H1379"/>
  <c r="N1379"/>
  <c r="M1379" s="1"/>
  <c r="H1429"/>
  <c r="N1429"/>
  <c r="M1429" s="1"/>
  <c r="H1361"/>
  <c r="N1361"/>
  <c r="M1361" s="1"/>
  <c r="H1427"/>
  <c r="N1427"/>
  <c r="M1427" s="1"/>
  <c r="H1370"/>
  <c r="N1370"/>
  <c r="M1370" s="1"/>
  <c r="H1366"/>
  <c r="N1366"/>
  <c r="M1366" s="1"/>
  <c r="H1384"/>
  <c r="N1384"/>
  <c r="M1384" s="1"/>
  <c r="H1376"/>
  <c r="N1376"/>
  <c r="M1376" s="1"/>
  <c r="H1400"/>
  <c r="N1400"/>
  <c r="M1400" s="1"/>
  <c r="H1451"/>
  <c r="N1451"/>
  <c r="M1451" s="1"/>
  <c r="H1387"/>
  <c r="N1387"/>
  <c r="M1387" s="1"/>
  <c r="H1458"/>
  <c r="N1458"/>
  <c r="M1458" s="1"/>
  <c r="H1390"/>
  <c r="N1390"/>
  <c r="M1390" s="1"/>
  <c r="H1456"/>
  <c r="N1456"/>
  <c r="M1456" s="1"/>
  <c r="H1428"/>
  <c r="N1428"/>
  <c r="M1428" s="1"/>
  <c r="H1424"/>
  <c r="N1424"/>
  <c r="M1424" s="1"/>
  <c r="H1364"/>
  <c r="N1364"/>
  <c r="M1364" s="1"/>
  <c r="H1372"/>
  <c r="N1372"/>
  <c r="M1372" s="1"/>
  <c r="N1356"/>
  <c r="M1356" s="1"/>
  <c r="H1356"/>
  <c r="H143"/>
  <c r="N143"/>
  <c r="O143"/>
  <c r="P143"/>
  <c r="H144"/>
  <c r="N144"/>
  <c r="O144"/>
  <c r="P144"/>
  <c r="H145"/>
  <c r="N145"/>
  <c r="O145"/>
  <c r="P145"/>
  <c r="H146"/>
  <c r="N146"/>
  <c r="O146"/>
  <c r="P146"/>
  <c r="H147"/>
  <c r="N147"/>
  <c r="O147"/>
  <c r="P147"/>
  <c r="H148"/>
  <c r="N148"/>
  <c r="O148"/>
  <c r="P148"/>
  <c r="H149"/>
  <c r="N149"/>
  <c r="O149"/>
  <c r="P149"/>
  <c r="H150"/>
  <c r="N150"/>
  <c r="O150"/>
  <c r="P150"/>
  <c r="H151"/>
  <c r="N151"/>
  <c r="O151"/>
  <c r="P151"/>
  <c r="H152"/>
  <c r="N152"/>
  <c r="O152"/>
  <c r="P152"/>
  <c r="H153"/>
  <c r="N153"/>
  <c r="O153"/>
  <c r="P153"/>
  <c r="H154"/>
  <c r="N154"/>
  <c r="O154"/>
  <c r="P154"/>
  <c r="H155"/>
  <c r="N155"/>
  <c r="O155"/>
  <c r="P155"/>
  <c r="H156"/>
  <c r="N156"/>
  <c r="O156"/>
  <c r="P156"/>
  <c r="H157"/>
  <c r="N157"/>
  <c r="O157"/>
  <c r="P157"/>
  <c r="H158"/>
  <c r="N158"/>
  <c r="O158"/>
  <c r="P158"/>
  <c r="H159"/>
  <c r="N159"/>
  <c r="O159"/>
  <c r="P159"/>
  <c r="H141"/>
  <c r="N141"/>
  <c r="O141"/>
  <c r="P141"/>
  <c r="H142"/>
  <c r="N142"/>
  <c r="O142"/>
  <c r="P142"/>
  <c r="H133"/>
  <c r="N133"/>
  <c r="O133"/>
  <c r="P133"/>
  <c r="H134"/>
  <c r="N134"/>
  <c r="O134"/>
  <c r="P134"/>
  <c r="H139"/>
  <c r="N139"/>
  <c r="O139"/>
  <c r="P139"/>
  <c r="H140"/>
  <c r="N140"/>
  <c r="O140"/>
  <c r="P140"/>
  <c r="H160"/>
  <c r="N160"/>
  <c r="O160"/>
  <c r="P160"/>
  <c r="H161"/>
  <c r="N161"/>
  <c r="O161"/>
  <c r="P161"/>
  <c r="H162"/>
  <c r="N162"/>
  <c r="O162"/>
  <c r="P162"/>
  <c r="H163"/>
  <c r="N163"/>
  <c r="O163"/>
  <c r="P163"/>
  <c r="N94"/>
  <c r="O94"/>
  <c r="P94"/>
  <c r="N99"/>
  <c r="O99"/>
  <c r="P99"/>
  <c r="N100"/>
  <c r="O100"/>
  <c r="P100"/>
  <c r="N101"/>
  <c r="O101"/>
  <c r="P101"/>
  <c r="N102"/>
  <c r="O102"/>
  <c r="P102"/>
  <c r="N103"/>
  <c r="O103"/>
  <c r="P103"/>
  <c r="N104"/>
  <c r="O104"/>
  <c r="P104"/>
  <c r="N105"/>
  <c r="O105"/>
  <c r="P105"/>
  <c r="N106"/>
  <c r="O106"/>
  <c r="P106"/>
  <c r="N107"/>
  <c r="O107"/>
  <c r="P107"/>
  <c r="N108"/>
  <c r="O108"/>
  <c r="P108"/>
  <c r="N109"/>
  <c r="O109"/>
  <c r="P109"/>
  <c r="N110"/>
  <c r="O110"/>
  <c r="P110"/>
  <c r="N111"/>
  <c r="O111"/>
  <c r="P111"/>
  <c r="N112"/>
  <c r="O112"/>
  <c r="P112"/>
  <c r="N113"/>
  <c r="O113"/>
  <c r="P113"/>
  <c r="N114"/>
  <c r="O114"/>
  <c r="P114"/>
  <c r="N115"/>
  <c r="O115"/>
  <c r="P115"/>
  <c r="N116"/>
  <c r="O116"/>
  <c r="P116"/>
  <c r="H94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N52"/>
  <c r="O52"/>
  <c r="P52"/>
  <c r="N58"/>
  <c r="O58"/>
  <c r="P58"/>
  <c r="N59"/>
  <c r="O59"/>
  <c r="P59"/>
  <c r="N60"/>
  <c r="O60"/>
  <c r="P60"/>
  <c r="N61"/>
  <c r="O61"/>
  <c r="P61"/>
  <c r="N62"/>
  <c r="O62"/>
  <c r="P62"/>
  <c r="N63"/>
  <c r="O63"/>
  <c r="P63"/>
  <c r="N64"/>
  <c r="O64"/>
  <c r="P64"/>
  <c r="N65"/>
  <c r="O65"/>
  <c r="P65"/>
  <c r="N66"/>
  <c r="O66"/>
  <c r="P66"/>
  <c r="N67"/>
  <c r="O67"/>
  <c r="P67"/>
  <c r="N68"/>
  <c r="O68"/>
  <c r="P68"/>
  <c r="N69"/>
  <c r="O69"/>
  <c r="P69"/>
  <c r="N70"/>
  <c r="O70"/>
  <c r="P70"/>
  <c r="N71"/>
  <c r="O71"/>
  <c r="P71"/>
  <c r="N72"/>
  <c r="O72"/>
  <c r="P72"/>
  <c r="N73"/>
  <c r="O73"/>
  <c r="P73"/>
  <c r="N74"/>
  <c r="O74"/>
  <c r="P74"/>
  <c r="N75"/>
  <c r="O75"/>
  <c r="P75"/>
  <c r="H52"/>
  <c r="H58"/>
  <c r="H59"/>
  <c r="U8" s="1"/>
  <c r="X8" s="1"/>
  <c r="H60"/>
  <c r="H61"/>
  <c r="H62"/>
  <c r="H63"/>
  <c r="H64"/>
  <c r="H65"/>
  <c r="H66"/>
  <c r="H67"/>
  <c r="H68"/>
  <c r="H69"/>
  <c r="H70"/>
  <c r="H71"/>
  <c r="H72"/>
  <c r="H73"/>
  <c r="H74"/>
  <c r="H75"/>
  <c r="H76"/>
  <c r="R1453" l="1"/>
  <c r="R1486"/>
  <c r="R1387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62"/>
  <c r="M160"/>
  <c r="M140"/>
  <c r="M134"/>
  <c r="M133"/>
  <c r="M163"/>
  <c r="M161"/>
  <c r="M139"/>
  <c r="M115"/>
  <c r="M113"/>
  <c r="M111"/>
  <c r="M109"/>
  <c r="M107"/>
  <c r="M105"/>
  <c r="M103"/>
  <c r="M101"/>
  <c r="M99"/>
  <c r="M116"/>
  <c r="M114"/>
  <c r="M112"/>
  <c r="M110"/>
  <c r="M108"/>
  <c r="M106"/>
  <c r="M104"/>
  <c r="M102"/>
  <c r="M100"/>
  <c r="M94"/>
  <c r="M74"/>
  <c r="M72"/>
  <c r="M70"/>
  <c r="M68"/>
  <c r="M65"/>
  <c r="M64"/>
  <c r="M61"/>
  <c r="M60"/>
  <c r="M58"/>
  <c r="M75"/>
  <c r="M73"/>
  <c r="M71"/>
  <c r="M69"/>
  <c r="M67"/>
  <c r="M66"/>
  <c r="M63"/>
  <c r="M62"/>
  <c r="M59"/>
  <c r="M52"/>
  <c r="H12" l="1"/>
  <c r="H17"/>
  <c r="H18"/>
  <c r="H19"/>
  <c r="H20"/>
  <c r="H21"/>
  <c r="H22"/>
  <c r="H23"/>
  <c r="H24"/>
  <c r="H25"/>
  <c r="H26"/>
  <c r="N12"/>
  <c r="O12"/>
  <c r="P12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267"/>
  <c r="O267"/>
  <c r="P267"/>
  <c r="H267"/>
  <c r="M26" l="1"/>
  <c r="M24"/>
  <c r="M22"/>
  <c r="M20"/>
  <c r="M18"/>
  <c r="M12"/>
  <c r="M27"/>
  <c r="M25"/>
  <c r="M23"/>
  <c r="M21"/>
  <c r="M19"/>
  <c r="M17"/>
  <c r="M267"/>
  <c r="P450" l="1"/>
  <c r="O450"/>
  <c r="N450"/>
  <c r="H450"/>
  <c r="P449"/>
  <c r="O449"/>
  <c r="N449"/>
  <c r="H449"/>
  <c r="P448"/>
  <c r="O448"/>
  <c r="N448"/>
  <c r="H448"/>
  <c r="P447"/>
  <c r="O447"/>
  <c r="N447"/>
  <c r="H447"/>
  <c r="P446"/>
  <c r="O446"/>
  <c r="N446"/>
  <c r="H446"/>
  <c r="P445"/>
  <c r="O445"/>
  <c r="N445"/>
  <c r="H445"/>
  <c r="P444"/>
  <c r="O444"/>
  <c r="N444"/>
  <c r="H444"/>
  <c r="P443"/>
  <c r="O443"/>
  <c r="N443"/>
  <c r="H443"/>
  <c r="P442"/>
  <c r="O442"/>
  <c r="N442"/>
  <c r="H442"/>
  <c r="P441"/>
  <c r="O441"/>
  <c r="N441"/>
  <c r="H441"/>
  <c r="P440"/>
  <c r="O440"/>
  <c r="N440"/>
  <c r="H440"/>
  <c r="P439"/>
  <c r="O439"/>
  <c r="N439"/>
  <c r="H439"/>
  <c r="P411"/>
  <c r="O411"/>
  <c r="N411"/>
  <c r="H411"/>
  <c r="P410"/>
  <c r="O410"/>
  <c r="N410"/>
  <c r="H410"/>
  <c r="P409"/>
  <c r="O409"/>
  <c r="N409"/>
  <c r="H409"/>
  <c r="P408"/>
  <c r="O408"/>
  <c r="N408"/>
  <c r="H408"/>
  <c r="P407"/>
  <c r="O407"/>
  <c r="N407"/>
  <c r="H407"/>
  <c r="P406"/>
  <c r="O406"/>
  <c r="N406"/>
  <c r="H406"/>
  <c r="P405"/>
  <c r="O405"/>
  <c r="N405"/>
  <c r="H405"/>
  <c r="P404"/>
  <c r="O404"/>
  <c r="N404"/>
  <c r="H404"/>
  <c r="P403"/>
  <c r="O403"/>
  <c r="N403"/>
  <c r="H403"/>
  <c r="P402"/>
  <c r="O402"/>
  <c r="N402"/>
  <c r="H402"/>
  <c r="P401"/>
  <c r="O401"/>
  <c r="N401"/>
  <c r="H401"/>
  <c r="P400"/>
  <c r="O400"/>
  <c r="N400"/>
  <c r="H400"/>
  <c r="P399"/>
  <c r="O399"/>
  <c r="N399"/>
  <c r="H399"/>
  <c r="P398"/>
  <c r="O398"/>
  <c r="N398"/>
  <c r="H398"/>
  <c r="P397"/>
  <c r="O397"/>
  <c r="N397"/>
  <c r="H397"/>
  <c r="P396"/>
  <c r="O396"/>
  <c r="N396"/>
  <c r="H396"/>
  <c r="P395"/>
  <c r="O395"/>
  <c r="N395"/>
  <c r="H395"/>
  <c r="P415"/>
  <c r="O415"/>
  <c r="N415"/>
  <c r="H415"/>
  <c r="P414"/>
  <c r="O414"/>
  <c r="N414"/>
  <c r="H414"/>
  <c r="P413"/>
  <c r="O413"/>
  <c r="N413"/>
  <c r="H413"/>
  <c r="P412"/>
  <c r="O412"/>
  <c r="N412"/>
  <c r="H412"/>
  <c r="P394"/>
  <c r="O394"/>
  <c r="N394"/>
  <c r="H394"/>
  <c r="P393"/>
  <c r="O393"/>
  <c r="N393"/>
  <c r="H393"/>
  <c r="P392"/>
  <c r="O392"/>
  <c r="N392"/>
  <c r="H392"/>
  <c r="P391"/>
  <c r="O391"/>
  <c r="N391"/>
  <c r="H391"/>
  <c r="P390"/>
  <c r="O390"/>
  <c r="N390"/>
  <c r="H390"/>
  <c r="P389"/>
  <c r="O389"/>
  <c r="N389"/>
  <c r="H389"/>
  <c r="P388"/>
  <c r="O388"/>
  <c r="N388"/>
  <c r="H388"/>
  <c r="P387"/>
  <c r="O387"/>
  <c r="N387"/>
  <c r="H387"/>
  <c r="M406" l="1"/>
  <c r="M409"/>
  <c r="M410"/>
  <c r="M442"/>
  <c r="M411"/>
  <c r="M439"/>
  <c r="M440"/>
  <c r="M441"/>
  <c r="M444"/>
  <c r="M445"/>
  <c r="M446"/>
  <c r="M447"/>
  <c r="M448"/>
  <c r="M449"/>
  <c r="M450"/>
  <c r="M443"/>
  <c r="M408"/>
  <c r="M412"/>
  <c r="M394"/>
  <c r="M393"/>
  <c r="M392"/>
  <c r="M391"/>
  <c r="M389"/>
  <c r="M388"/>
  <c r="M387"/>
  <c r="M401"/>
  <c r="M397"/>
  <c r="M399"/>
  <c r="M400"/>
  <c r="M395"/>
  <c r="M396"/>
  <c r="M404"/>
  <c r="M405"/>
  <c r="M414"/>
  <c r="M415"/>
  <c r="M398"/>
  <c r="M402"/>
  <c r="M403"/>
  <c r="M407"/>
  <c r="M390"/>
  <c r="M413"/>
  <c r="P364" l="1"/>
  <c r="O364"/>
  <c r="N364"/>
  <c r="H364"/>
  <c r="P363"/>
  <c r="O363"/>
  <c r="N363"/>
  <c r="H363"/>
  <c r="P362"/>
  <c r="O362"/>
  <c r="N362"/>
  <c r="H362"/>
  <c r="P361"/>
  <c r="O361"/>
  <c r="N361"/>
  <c r="H361"/>
  <c r="P360"/>
  <c r="O360"/>
  <c r="N360"/>
  <c r="H360"/>
  <c r="P359"/>
  <c r="O359"/>
  <c r="N359"/>
  <c r="H359"/>
  <c r="P358"/>
  <c r="O358"/>
  <c r="N358"/>
  <c r="H358"/>
  <c r="P357"/>
  <c r="O357"/>
  <c r="N357"/>
  <c r="H357"/>
  <c r="P356"/>
  <c r="O356"/>
  <c r="N356"/>
  <c r="H356"/>
  <c r="P355"/>
  <c r="O355"/>
  <c r="N355"/>
  <c r="H355"/>
  <c r="H350"/>
  <c r="N350"/>
  <c r="O350"/>
  <c r="P350"/>
  <c r="H351"/>
  <c r="N351"/>
  <c r="O351"/>
  <c r="P351"/>
  <c r="H352"/>
  <c r="N352"/>
  <c r="O352"/>
  <c r="P352"/>
  <c r="H353"/>
  <c r="N353"/>
  <c r="O353"/>
  <c r="P353"/>
  <c r="H354"/>
  <c r="N354"/>
  <c r="O354"/>
  <c r="P354"/>
  <c r="H314"/>
  <c r="N314"/>
  <c r="O314"/>
  <c r="P314"/>
  <c r="H315"/>
  <c r="N315"/>
  <c r="O315"/>
  <c r="P315"/>
  <c r="H316"/>
  <c r="N316"/>
  <c r="O316"/>
  <c r="P316"/>
  <c r="H317"/>
  <c r="N317"/>
  <c r="O317"/>
  <c r="P317"/>
  <c r="H318"/>
  <c r="N318"/>
  <c r="O318"/>
  <c r="P318"/>
  <c r="H319"/>
  <c r="N319"/>
  <c r="O319"/>
  <c r="P319"/>
  <c r="H320"/>
  <c r="N320"/>
  <c r="O320"/>
  <c r="P320"/>
  <c r="H321"/>
  <c r="N321"/>
  <c r="O321"/>
  <c r="P321"/>
  <c r="H322"/>
  <c r="N322"/>
  <c r="O322"/>
  <c r="P322"/>
  <c r="H323"/>
  <c r="N323"/>
  <c r="O323"/>
  <c r="P323"/>
  <c r="H324"/>
  <c r="N324"/>
  <c r="O324"/>
  <c r="P324"/>
  <c r="M355" l="1"/>
  <c r="M357"/>
  <c r="M358"/>
  <c r="M360"/>
  <c r="M361"/>
  <c r="M364"/>
  <c r="M359"/>
  <c r="M356"/>
  <c r="M362"/>
  <c r="M363"/>
  <c r="M352"/>
  <c r="M351"/>
  <c r="M354"/>
  <c r="M353"/>
  <c r="M350"/>
  <c r="M323"/>
  <c r="M321"/>
  <c r="M324"/>
  <c r="M322"/>
  <c r="M320"/>
  <c r="M319"/>
  <c r="M318"/>
  <c r="M317"/>
  <c r="M316"/>
  <c r="M315"/>
  <c r="M314"/>
  <c r="C180" i="14" l="1"/>
  <c r="D180"/>
  <c r="E180"/>
  <c r="F180"/>
  <c r="N582" i="7"/>
  <c r="O582"/>
  <c r="P582"/>
  <c r="H582"/>
  <c r="N573"/>
  <c r="O573"/>
  <c r="P573"/>
  <c r="N574"/>
  <c r="O574"/>
  <c r="P574"/>
  <c r="N575"/>
  <c r="O575"/>
  <c r="P575"/>
  <c r="H573"/>
  <c r="H574"/>
  <c r="H575"/>
  <c r="N539"/>
  <c r="O539"/>
  <c r="P539"/>
  <c r="N540"/>
  <c r="O540"/>
  <c r="P540"/>
  <c r="N541"/>
  <c r="O541"/>
  <c r="P541"/>
  <c r="H541"/>
  <c r="H540"/>
  <c r="H539"/>
  <c r="N515"/>
  <c r="O515"/>
  <c r="P515"/>
  <c r="H515"/>
  <c r="N518"/>
  <c r="O518"/>
  <c r="P518"/>
  <c r="H518"/>
  <c r="N487"/>
  <c r="O487"/>
  <c r="P487"/>
  <c r="M582" l="1"/>
  <c r="M574"/>
  <c r="M573"/>
  <c r="M575"/>
  <c r="M487"/>
  <c r="M541"/>
  <c r="M539"/>
  <c r="M540"/>
  <c r="M518"/>
  <c r="M515"/>
  <c r="C174" i="14" l="1"/>
  <c r="D174"/>
  <c r="E174"/>
  <c r="F174"/>
  <c r="F100"/>
  <c r="E100"/>
  <c r="D100"/>
  <c r="C100"/>
  <c r="F96"/>
  <c r="E96"/>
  <c r="D96"/>
  <c r="C96"/>
  <c r="C112"/>
  <c r="D112"/>
  <c r="E112"/>
  <c r="F112"/>
  <c r="C106"/>
  <c r="D106"/>
  <c r="E106"/>
  <c r="F106"/>
  <c r="C38"/>
  <c r="D38"/>
  <c r="E38"/>
  <c r="F38"/>
  <c r="P34" i="2" l="1"/>
  <c r="P32"/>
  <c r="P26"/>
  <c r="P24"/>
  <c r="P10"/>
  <c r="K10"/>
  <c r="F10"/>
  <c r="F204" i="14" l="1"/>
  <c r="E204"/>
  <c r="D204"/>
  <c r="C204"/>
  <c r="F198"/>
  <c r="E198"/>
  <c r="D198"/>
  <c r="C198"/>
  <c r="F192"/>
  <c r="E192"/>
  <c r="D192"/>
  <c r="C192"/>
  <c r="F186"/>
  <c r="E186"/>
  <c r="D186"/>
  <c r="C186"/>
  <c r="F168"/>
  <c r="E168"/>
  <c r="D168"/>
  <c r="C168"/>
  <c r="F32"/>
  <c r="C32"/>
  <c r="D32"/>
  <c r="E32"/>
  <c r="F84"/>
  <c r="E84"/>
  <c r="D84"/>
  <c r="C84"/>
  <c r="F92"/>
  <c r="E92"/>
  <c r="D92"/>
  <c r="C92"/>
  <c r="O21" i="15"/>
  <c r="O24" s="1"/>
  <c r="I21"/>
  <c r="C21"/>
  <c r="I24" l="1"/>
  <c r="I22"/>
  <c r="C24"/>
  <c r="C22"/>
  <c r="T19"/>
  <c r="P19"/>
  <c r="P18"/>
  <c r="T18" s="1"/>
  <c r="P17"/>
  <c r="O16"/>
  <c r="P14"/>
  <c r="T14" s="1"/>
  <c r="P13"/>
  <c r="T13" s="1"/>
  <c r="P12"/>
  <c r="O11"/>
  <c r="P9"/>
  <c r="T9" s="1"/>
  <c r="P8"/>
  <c r="T8" s="1"/>
  <c r="P7"/>
  <c r="U21"/>
  <c r="U24" s="1"/>
  <c r="V19"/>
  <c r="Z19" s="1"/>
  <c r="V18"/>
  <c r="Z18" s="1"/>
  <c r="V17"/>
  <c r="U16"/>
  <c r="V14"/>
  <c r="Z14" s="1"/>
  <c r="V13"/>
  <c r="Z13" s="1"/>
  <c r="V12"/>
  <c r="U11"/>
  <c r="V9"/>
  <c r="Z9" s="1"/>
  <c r="V8"/>
  <c r="Z8" s="1"/>
  <c r="V7"/>
  <c r="V16" l="1"/>
  <c r="P21"/>
  <c r="P24" s="1"/>
  <c r="P33" s="1"/>
  <c r="P11"/>
  <c r="V21"/>
  <c r="V24" s="1"/>
  <c r="R92" i="39" s="1"/>
  <c r="V11" i="15"/>
  <c r="U22"/>
  <c r="U23"/>
  <c r="O22"/>
  <c r="O23"/>
  <c r="P16"/>
  <c r="J21"/>
  <c r="J24" s="1"/>
  <c r="J33" s="1"/>
  <c r="D21"/>
  <c r="D24" s="1"/>
  <c r="D33" s="1"/>
  <c r="E103" i="4"/>
  <c r="D103"/>
  <c r="V23" i="15" l="1"/>
  <c r="P92" i="39" s="1"/>
  <c r="G104" i="4" s="1"/>
  <c r="P22" i="15"/>
  <c r="R93" i="39"/>
  <c r="V32" i="15"/>
  <c r="V33" s="1"/>
  <c r="V22"/>
  <c r="P23"/>
  <c r="P30" s="1"/>
  <c r="J22"/>
  <c r="D23"/>
  <c r="D30" s="1"/>
  <c r="J23"/>
  <c r="J30" s="1"/>
  <c r="D22"/>
  <c r="K18" i="4"/>
  <c r="J18"/>
  <c r="I18"/>
  <c r="P93" i="39" l="1"/>
  <c r="O93" s="1"/>
  <c r="G103" i="4"/>
  <c r="O92" i="39"/>
  <c r="V26" i="15" s="1"/>
  <c r="V29"/>
  <c r="V30" s="1"/>
  <c r="R91" i="39"/>
  <c r="P8" i="2"/>
  <c r="K8"/>
  <c r="F8"/>
  <c r="P15"/>
  <c r="K15"/>
  <c r="F15"/>
  <c r="P91" i="39" l="1"/>
  <c r="O91" s="1"/>
  <c r="D50" i="2"/>
  <c r="F49"/>
  <c r="F48"/>
  <c r="F47"/>
  <c r="F46"/>
  <c r="F45"/>
  <c r="F44"/>
  <c r="F43"/>
  <c r="F42"/>
  <c r="I50"/>
  <c r="K49"/>
  <c r="K48"/>
  <c r="K47"/>
  <c r="K46"/>
  <c r="K45"/>
  <c r="K44"/>
  <c r="K43"/>
  <c r="K42"/>
  <c r="N50"/>
  <c r="P49"/>
  <c r="P48"/>
  <c r="P47"/>
  <c r="P46"/>
  <c r="P45"/>
  <c r="P44"/>
  <c r="P43"/>
  <c r="P42"/>
  <c r="F14"/>
  <c r="F13"/>
  <c r="F11"/>
  <c r="F6"/>
  <c r="F17" s="1"/>
  <c r="D37" i="39" s="1"/>
  <c r="K13" i="2"/>
  <c r="K11"/>
  <c r="K6"/>
  <c r="P13"/>
  <c r="P11"/>
  <c r="P18" s="1"/>
  <c r="L38" i="39" s="1"/>
  <c r="K38" s="1"/>
  <c r="P6" i="2"/>
  <c r="K18" l="1"/>
  <c r="H38" i="39" s="1"/>
  <c r="G38" s="1"/>
  <c r="P17" i="2"/>
  <c r="L37" i="39" s="1"/>
  <c r="P16" i="2"/>
  <c r="K16"/>
  <c r="K17"/>
  <c r="H37" i="39" s="1"/>
  <c r="F18" i="2"/>
  <c r="D38" i="39" s="1"/>
  <c r="C38" s="1"/>
  <c r="C37"/>
  <c r="F50" i="2"/>
  <c r="F11" i="39" s="1"/>
  <c r="P50" i="2"/>
  <c r="N11" i="39" s="1"/>
  <c r="K50" i="2"/>
  <c r="J11" i="39" s="1"/>
  <c r="N19" l="1"/>
  <c r="N29" s="1"/>
  <c r="K11"/>
  <c r="K37"/>
  <c r="L41"/>
  <c r="K41" s="1"/>
  <c r="D41"/>
  <c r="G11"/>
  <c r="J19"/>
  <c r="J29" s="1"/>
  <c r="C11"/>
  <c r="F19"/>
  <c r="F29" s="1"/>
  <c r="G37"/>
  <c r="H41"/>
  <c r="G41" s="1"/>
  <c r="P52" i="2"/>
  <c r="K52"/>
  <c r="F52"/>
  <c r="B50"/>
  <c r="L50"/>
  <c r="G50"/>
  <c r="E50" i="4" l="1"/>
  <c r="F50"/>
  <c r="G50"/>
  <c r="F120" i="14" l="1"/>
  <c r="E120"/>
  <c r="D120"/>
  <c r="C120"/>
  <c r="F52"/>
  <c r="E52"/>
  <c r="D52"/>
  <c r="C52"/>
  <c r="F26"/>
  <c r="E26"/>
  <c r="D26"/>
  <c r="C26"/>
  <c r="F156" l="1"/>
  <c r="E156"/>
  <c r="D156"/>
  <c r="C156"/>
  <c r="F152"/>
  <c r="E152"/>
  <c r="D152"/>
  <c r="C152"/>
  <c r="F88"/>
  <c r="E88"/>
  <c r="D88"/>
  <c r="C88"/>
  <c r="U43" i="2" l="1"/>
  <c r="U44"/>
  <c r="U45"/>
  <c r="U46"/>
  <c r="U47"/>
  <c r="U48"/>
  <c r="U49"/>
  <c r="U42"/>
  <c r="F124" i="14" l="1"/>
  <c r="E124"/>
  <c r="D124"/>
  <c r="C124"/>
  <c r="H451" i="7" l="1"/>
  <c r="H452"/>
  <c r="H453"/>
  <c r="H454"/>
  <c r="P454"/>
  <c r="O454"/>
  <c r="N454"/>
  <c r="P453"/>
  <c r="O453"/>
  <c r="N453"/>
  <c r="P436"/>
  <c r="O436"/>
  <c r="N436"/>
  <c r="H436"/>
  <c r="P431"/>
  <c r="O431"/>
  <c r="N431"/>
  <c r="H431"/>
  <c r="H426"/>
  <c r="P426"/>
  <c r="O426"/>
  <c r="N426"/>
  <c r="H435"/>
  <c r="H434"/>
  <c r="H433"/>
  <c r="H432"/>
  <c r="P435"/>
  <c r="O435"/>
  <c r="N435"/>
  <c r="P434"/>
  <c r="O434"/>
  <c r="N434"/>
  <c r="P433"/>
  <c r="O433"/>
  <c r="N433"/>
  <c r="P432"/>
  <c r="O432"/>
  <c r="N432"/>
  <c r="P417"/>
  <c r="O417"/>
  <c r="N417"/>
  <c r="H430"/>
  <c r="H428"/>
  <c r="P430"/>
  <c r="O430"/>
  <c r="N430"/>
  <c r="P428"/>
  <c r="O428"/>
  <c r="N428"/>
  <c r="N421"/>
  <c r="O421"/>
  <c r="P421"/>
  <c r="H417"/>
  <c r="H418"/>
  <c r="H419"/>
  <c r="H420"/>
  <c r="H421"/>
  <c r="H427"/>
  <c r="K1185"/>
  <c r="H553"/>
  <c r="H554"/>
  <c r="N553"/>
  <c r="O553"/>
  <c r="P553"/>
  <c r="N554"/>
  <c r="O554"/>
  <c r="P554"/>
  <c r="J1185"/>
  <c r="M430" l="1"/>
  <c r="M417"/>
  <c r="M432"/>
  <c r="M435"/>
  <c r="M431"/>
  <c r="M436"/>
  <c r="M453"/>
  <c r="M454"/>
  <c r="M553"/>
  <c r="M433"/>
  <c r="M434"/>
  <c r="M428"/>
  <c r="M426"/>
  <c r="M421"/>
  <c r="M554"/>
  <c r="E162" i="14"/>
  <c r="C162"/>
  <c r="D162"/>
  <c r="F162"/>
  <c r="H386" i="7" l="1"/>
  <c r="H381"/>
  <c r="H380"/>
  <c r="H379"/>
  <c r="H378"/>
  <c r="H377"/>
  <c r="H376"/>
  <c r="H299"/>
  <c r="N299"/>
  <c r="O299"/>
  <c r="P299"/>
  <c r="H304"/>
  <c r="N304"/>
  <c r="O304"/>
  <c r="P304"/>
  <c r="H305"/>
  <c r="N305"/>
  <c r="O305"/>
  <c r="P305"/>
  <c r="H306"/>
  <c r="N306"/>
  <c r="O306"/>
  <c r="P306"/>
  <c r="H365"/>
  <c r="N365"/>
  <c r="O365"/>
  <c r="P365"/>
  <c r="H366"/>
  <c r="N366"/>
  <c r="O366"/>
  <c r="P366"/>
  <c r="H367"/>
  <c r="N367"/>
  <c r="O367"/>
  <c r="P367"/>
  <c r="H368"/>
  <c r="N368"/>
  <c r="O368"/>
  <c r="P368"/>
  <c r="H369"/>
  <c r="N369"/>
  <c r="O369"/>
  <c r="P369"/>
  <c r="H370"/>
  <c r="N370"/>
  <c r="O370"/>
  <c r="P370"/>
  <c r="H371"/>
  <c r="N371"/>
  <c r="O371"/>
  <c r="P371"/>
  <c r="H307"/>
  <c r="N307"/>
  <c r="O307"/>
  <c r="P307"/>
  <c r="H308"/>
  <c r="N308"/>
  <c r="O308"/>
  <c r="P308"/>
  <c r="H309"/>
  <c r="N309"/>
  <c r="O309"/>
  <c r="P309"/>
  <c r="M306" l="1"/>
  <c r="M305"/>
  <c r="M304"/>
  <c r="M299"/>
  <c r="M370"/>
  <c r="M367"/>
  <c r="M366"/>
  <c r="M371"/>
  <c r="M369"/>
  <c r="M368"/>
  <c r="M365"/>
  <c r="M309"/>
  <c r="M308"/>
  <c r="M307"/>
  <c r="H558" l="1"/>
  <c r="N558"/>
  <c r="O558"/>
  <c r="P558"/>
  <c r="H559"/>
  <c r="N559"/>
  <c r="O559"/>
  <c r="P559"/>
  <c r="H560"/>
  <c r="N560"/>
  <c r="O560"/>
  <c r="P560"/>
  <c r="H561"/>
  <c r="N561"/>
  <c r="O561"/>
  <c r="P561"/>
  <c r="H562"/>
  <c r="N562"/>
  <c r="O562"/>
  <c r="P562"/>
  <c r="H563"/>
  <c r="N563"/>
  <c r="O563"/>
  <c r="P563"/>
  <c r="H564"/>
  <c r="N564"/>
  <c r="O564"/>
  <c r="P564"/>
  <c r="H565"/>
  <c r="N565"/>
  <c r="O565"/>
  <c r="P565"/>
  <c r="H566"/>
  <c r="N566"/>
  <c r="O566"/>
  <c r="P566"/>
  <c r="H567"/>
  <c r="N567"/>
  <c r="O567"/>
  <c r="P567"/>
  <c r="H568"/>
  <c r="N568"/>
  <c r="O568"/>
  <c r="P568"/>
  <c r="H569"/>
  <c r="N569"/>
  <c r="O569"/>
  <c r="P569"/>
  <c r="H570"/>
  <c r="N570"/>
  <c r="O570"/>
  <c r="P570"/>
  <c r="H571"/>
  <c r="N571"/>
  <c r="O571"/>
  <c r="P571"/>
  <c r="H525"/>
  <c r="N525"/>
  <c r="O525"/>
  <c r="P525"/>
  <c r="H526"/>
  <c r="N526"/>
  <c r="O526"/>
  <c r="P526"/>
  <c r="H527"/>
  <c r="N527"/>
  <c r="O527"/>
  <c r="P527"/>
  <c r="H528"/>
  <c r="N528"/>
  <c r="O528"/>
  <c r="P528"/>
  <c r="H529"/>
  <c r="N529"/>
  <c r="O529"/>
  <c r="P529"/>
  <c r="H530"/>
  <c r="N530"/>
  <c r="O530"/>
  <c r="P530"/>
  <c r="H531"/>
  <c r="N531"/>
  <c r="O531"/>
  <c r="P531"/>
  <c r="H532"/>
  <c r="N532"/>
  <c r="O532"/>
  <c r="P532"/>
  <c r="H533"/>
  <c r="N533"/>
  <c r="O533"/>
  <c r="P533"/>
  <c r="H534"/>
  <c r="N534"/>
  <c r="O534"/>
  <c r="P534"/>
  <c r="H493"/>
  <c r="N493"/>
  <c r="O493"/>
  <c r="P493"/>
  <c r="H492"/>
  <c r="N492"/>
  <c r="O492"/>
  <c r="P492"/>
  <c r="H494"/>
  <c r="N494"/>
  <c r="O494"/>
  <c r="P494"/>
  <c r="H495"/>
  <c r="N495"/>
  <c r="O495"/>
  <c r="P495"/>
  <c r="H496"/>
  <c r="N496"/>
  <c r="O496"/>
  <c r="P496"/>
  <c r="H497"/>
  <c r="N497"/>
  <c r="O497"/>
  <c r="P497"/>
  <c r="H498"/>
  <c r="N498"/>
  <c r="O498"/>
  <c r="P498"/>
  <c r="H499"/>
  <c r="N499"/>
  <c r="O499"/>
  <c r="P499"/>
  <c r="H500"/>
  <c r="N500"/>
  <c r="O500"/>
  <c r="P500"/>
  <c r="H501"/>
  <c r="N501"/>
  <c r="O501"/>
  <c r="P501"/>
  <c r="H502"/>
  <c r="N502"/>
  <c r="O502"/>
  <c r="P502"/>
  <c r="N463"/>
  <c r="O463"/>
  <c r="P463"/>
  <c r="N464"/>
  <c r="O464"/>
  <c r="P464"/>
  <c r="N465"/>
  <c r="O465"/>
  <c r="P465"/>
  <c r="N466"/>
  <c r="O466"/>
  <c r="P466"/>
  <c r="N467"/>
  <c r="O467"/>
  <c r="P467"/>
  <c r="N468"/>
  <c r="O468"/>
  <c r="P468"/>
  <c r="N469"/>
  <c r="O469"/>
  <c r="P469"/>
  <c r="H463"/>
  <c r="H464"/>
  <c r="H465"/>
  <c r="H466"/>
  <c r="H467"/>
  <c r="H468"/>
  <c r="H469"/>
  <c r="H470"/>
  <c r="M571" l="1"/>
  <c r="M570"/>
  <c r="M569"/>
  <c r="M568"/>
  <c r="M567"/>
  <c r="M566"/>
  <c r="M564"/>
  <c r="M563"/>
  <c r="M562"/>
  <c r="M561"/>
  <c r="M560"/>
  <c r="M558"/>
  <c r="M565"/>
  <c r="M559"/>
  <c r="M533"/>
  <c r="M531"/>
  <c r="M529"/>
  <c r="M527"/>
  <c r="M525"/>
  <c r="M534"/>
  <c r="M532"/>
  <c r="M530"/>
  <c r="M528"/>
  <c r="M526"/>
  <c r="M501"/>
  <c r="M499"/>
  <c r="M497"/>
  <c r="M495"/>
  <c r="M493"/>
  <c r="M502"/>
  <c r="M500"/>
  <c r="M498"/>
  <c r="M496"/>
  <c r="M494"/>
  <c r="M492"/>
  <c r="M469"/>
  <c r="M467"/>
  <c r="M465"/>
  <c r="M463"/>
  <c r="M468"/>
  <c r="M466"/>
  <c r="M464"/>
  <c r="I84" i="4" l="1"/>
  <c r="J84"/>
  <c r="K84"/>
  <c r="I85"/>
  <c r="J85"/>
  <c r="K85"/>
  <c r="I86"/>
  <c r="J86"/>
  <c r="K86"/>
  <c r="I87"/>
  <c r="J87"/>
  <c r="K87"/>
  <c r="I88"/>
  <c r="J88"/>
  <c r="K88"/>
  <c r="I90"/>
  <c r="J90"/>
  <c r="K90"/>
  <c r="I91"/>
  <c r="J91"/>
  <c r="K91"/>
  <c r="I92"/>
  <c r="J92"/>
  <c r="K92"/>
  <c r="I93"/>
  <c r="J93"/>
  <c r="K93"/>
  <c r="I17"/>
  <c r="J17"/>
  <c r="K17"/>
  <c r="Q1050" i="7" l="1"/>
  <c r="P549"/>
  <c r="O549"/>
  <c r="N549"/>
  <c r="H549"/>
  <c r="P536"/>
  <c r="O536"/>
  <c r="N536"/>
  <c r="H536"/>
  <c r="P516"/>
  <c r="O516"/>
  <c r="N516"/>
  <c r="H516"/>
  <c r="P514"/>
  <c r="O514"/>
  <c r="N514"/>
  <c r="H514"/>
  <c r="P513"/>
  <c r="O513"/>
  <c r="N513"/>
  <c r="H513"/>
  <c r="P512"/>
  <c r="O512"/>
  <c r="N512"/>
  <c r="H512"/>
  <c r="P511"/>
  <c r="O511"/>
  <c r="N511"/>
  <c r="H511"/>
  <c r="P510"/>
  <c r="O510"/>
  <c r="N510"/>
  <c r="H510"/>
  <c r="P509"/>
  <c r="O509"/>
  <c r="N509"/>
  <c r="H509"/>
  <c r="P508"/>
  <c r="O508"/>
  <c r="N508"/>
  <c r="H508"/>
  <c r="P507"/>
  <c r="O507"/>
  <c r="N507"/>
  <c r="H507"/>
  <c r="P506"/>
  <c r="O506"/>
  <c r="N506"/>
  <c r="H506"/>
  <c r="P505"/>
  <c r="O505"/>
  <c r="N505"/>
  <c r="H505"/>
  <c r="P485"/>
  <c r="O485"/>
  <c r="N485"/>
  <c r="H485"/>
  <c r="P475"/>
  <c r="O475"/>
  <c r="N475"/>
  <c r="H475"/>
  <c r="O455"/>
  <c r="O452"/>
  <c r="O451"/>
  <c r="O438"/>
  <c r="O437"/>
  <c r="P429"/>
  <c r="O429"/>
  <c r="N429"/>
  <c r="H429"/>
  <c r="O427"/>
  <c r="O420"/>
  <c r="O419"/>
  <c r="O418"/>
  <c r="O416"/>
  <c r="P386"/>
  <c r="O386"/>
  <c r="N386"/>
  <c r="P381"/>
  <c r="O381"/>
  <c r="N381"/>
  <c r="P380"/>
  <c r="O380"/>
  <c r="N380"/>
  <c r="P379"/>
  <c r="O379"/>
  <c r="N379"/>
  <c r="P378"/>
  <c r="O378"/>
  <c r="N378"/>
  <c r="P377"/>
  <c r="O377"/>
  <c r="N377"/>
  <c r="P376"/>
  <c r="O376"/>
  <c r="N376"/>
  <c r="O375"/>
  <c r="O374"/>
  <c r="O373"/>
  <c r="O372"/>
  <c r="O339"/>
  <c r="O338"/>
  <c r="P337"/>
  <c r="O337"/>
  <c r="N337"/>
  <c r="H337"/>
  <c r="O336"/>
  <c r="O335"/>
  <c r="O334"/>
  <c r="O333"/>
  <c r="O332"/>
  <c r="O331"/>
  <c r="O330"/>
  <c r="O329"/>
  <c r="P328"/>
  <c r="O328"/>
  <c r="N328"/>
  <c r="H328"/>
  <c r="O327"/>
  <c r="O326"/>
  <c r="O325"/>
  <c r="O313"/>
  <c r="O312"/>
  <c r="O311"/>
  <c r="O310"/>
  <c r="P298"/>
  <c r="O298"/>
  <c r="N298"/>
  <c r="H298"/>
  <c r="O297"/>
  <c r="O296"/>
  <c r="O295"/>
  <c r="O294"/>
  <c r="P282"/>
  <c r="O282"/>
  <c r="N282"/>
  <c r="H282"/>
  <c r="P272"/>
  <c r="O272"/>
  <c r="N272"/>
  <c r="H272"/>
  <c r="P271"/>
  <c r="O271"/>
  <c r="N271"/>
  <c r="H271"/>
  <c r="P270"/>
  <c r="O270"/>
  <c r="N270"/>
  <c r="H270"/>
  <c r="P269"/>
  <c r="O269"/>
  <c r="N269"/>
  <c r="H269"/>
  <c r="P268"/>
  <c r="O268"/>
  <c r="N268"/>
  <c r="H268"/>
  <c r="P266"/>
  <c r="O266"/>
  <c r="N266"/>
  <c r="H266"/>
  <c r="P265"/>
  <c r="O265"/>
  <c r="N265"/>
  <c r="H265"/>
  <c r="P264"/>
  <c r="O264"/>
  <c r="N264"/>
  <c r="H264"/>
  <c r="P263"/>
  <c r="O263"/>
  <c r="N263"/>
  <c r="H263"/>
  <c r="P262"/>
  <c r="O262"/>
  <c r="N262"/>
  <c r="H262"/>
  <c r="P261"/>
  <c r="O261"/>
  <c r="N261"/>
  <c r="H261"/>
  <c r="P251"/>
  <c r="O251"/>
  <c r="N251"/>
  <c r="H251"/>
  <c r="P241"/>
  <c r="O241"/>
  <c r="N241"/>
  <c r="H241"/>
  <c r="P231"/>
  <c r="O231"/>
  <c r="N231"/>
  <c r="H231"/>
  <c r="P221"/>
  <c r="O221"/>
  <c r="N221"/>
  <c r="H221"/>
  <c r="P211"/>
  <c r="O211"/>
  <c r="N211"/>
  <c r="H211"/>
  <c r="P201"/>
  <c r="O201"/>
  <c r="N201"/>
  <c r="H201"/>
  <c r="P191"/>
  <c r="O191"/>
  <c r="N191"/>
  <c r="H191"/>
  <c r="P181"/>
  <c r="O181"/>
  <c r="N181"/>
  <c r="H181"/>
  <c r="Q169"/>
  <c r="O168"/>
  <c r="O167"/>
  <c r="O166"/>
  <c r="O165"/>
  <c r="O164"/>
  <c r="O132"/>
  <c r="O131"/>
  <c r="P130"/>
  <c r="O130"/>
  <c r="N130"/>
  <c r="H130"/>
  <c r="O129"/>
  <c r="O128"/>
  <c r="O127"/>
  <c r="O126"/>
  <c r="O125"/>
  <c r="O124"/>
  <c r="O123"/>
  <c r="O122"/>
  <c r="P121"/>
  <c r="O121"/>
  <c r="N121"/>
  <c r="H121"/>
  <c r="O120"/>
  <c r="O119"/>
  <c r="O118"/>
  <c r="O117"/>
  <c r="O93"/>
  <c r="O92"/>
  <c r="O91"/>
  <c r="O90"/>
  <c r="O89"/>
  <c r="P88"/>
  <c r="O88"/>
  <c r="N88"/>
  <c r="H88"/>
  <c r="O87"/>
  <c r="O86"/>
  <c r="O85"/>
  <c r="O84"/>
  <c r="O83"/>
  <c r="O82"/>
  <c r="O81"/>
  <c r="O80"/>
  <c r="O79"/>
  <c r="P78"/>
  <c r="O78"/>
  <c r="N78"/>
  <c r="H78"/>
  <c r="O77"/>
  <c r="O76"/>
  <c r="O51"/>
  <c r="O50"/>
  <c r="O49"/>
  <c r="O48"/>
  <c r="O47"/>
  <c r="O46"/>
  <c r="P45"/>
  <c r="O45"/>
  <c r="N45"/>
  <c r="H45"/>
  <c r="O44"/>
  <c r="O43"/>
  <c r="O42"/>
  <c r="O41"/>
  <c r="O40"/>
  <c r="O39"/>
  <c r="O38"/>
  <c r="O37"/>
  <c r="O36"/>
  <c r="P35"/>
  <c r="O35"/>
  <c r="N35"/>
  <c r="H35"/>
  <c r="P34"/>
  <c r="O34"/>
  <c r="N34"/>
  <c r="H34"/>
  <c r="P33"/>
  <c r="O33"/>
  <c r="N33"/>
  <c r="H33"/>
  <c r="P32"/>
  <c r="O32"/>
  <c r="N32"/>
  <c r="H32"/>
  <c r="P31"/>
  <c r="O31"/>
  <c r="N31"/>
  <c r="H31"/>
  <c r="P30"/>
  <c r="O30"/>
  <c r="N30"/>
  <c r="H30"/>
  <c r="P29"/>
  <c r="O29"/>
  <c r="N29"/>
  <c r="H29"/>
  <c r="P28"/>
  <c r="O28"/>
  <c r="N28"/>
  <c r="H28"/>
  <c r="H27"/>
  <c r="O11"/>
  <c r="O10"/>
  <c r="O9"/>
  <c r="O8"/>
  <c r="O7"/>
  <c r="H232"/>
  <c r="H233"/>
  <c r="H234"/>
  <c r="H235"/>
  <c r="H236"/>
  <c r="H237"/>
  <c r="H238"/>
  <c r="H239"/>
  <c r="H240"/>
  <c r="N232"/>
  <c r="O232"/>
  <c r="P232"/>
  <c r="N233"/>
  <c r="O233"/>
  <c r="P233"/>
  <c r="N234"/>
  <c r="O234"/>
  <c r="P234"/>
  <c r="N235"/>
  <c r="O235"/>
  <c r="P235"/>
  <c r="N236"/>
  <c r="O236"/>
  <c r="P236"/>
  <c r="N237"/>
  <c r="O237"/>
  <c r="P237"/>
  <c r="N238"/>
  <c r="O238"/>
  <c r="P238"/>
  <c r="N239"/>
  <c r="O239"/>
  <c r="P239"/>
  <c r="N240"/>
  <c r="O240"/>
  <c r="P240"/>
  <c r="H209"/>
  <c r="H210"/>
  <c r="H212"/>
  <c r="H213"/>
  <c r="H214"/>
  <c r="H215"/>
  <c r="H216"/>
  <c r="H217"/>
  <c r="H218"/>
  <c r="H219"/>
  <c r="N209"/>
  <c r="O209"/>
  <c r="P209"/>
  <c r="N210"/>
  <c r="O210"/>
  <c r="P210"/>
  <c r="N212"/>
  <c r="O212"/>
  <c r="P212"/>
  <c r="N213"/>
  <c r="O213"/>
  <c r="P213"/>
  <c r="N214"/>
  <c r="O214"/>
  <c r="P214"/>
  <c r="N215"/>
  <c r="O215"/>
  <c r="P215"/>
  <c r="N216"/>
  <c r="O216"/>
  <c r="P216"/>
  <c r="N217"/>
  <c r="O217"/>
  <c r="P217"/>
  <c r="N218"/>
  <c r="O218"/>
  <c r="P218"/>
  <c r="N219"/>
  <c r="O219"/>
  <c r="P219"/>
  <c r="N220"/>
  <c r="O220"/>
  <c r="P220"/>
  <c r="H176"/>
  <c r="H177"/>
  <c r="H178"/>
  <c r="H179"/>
  <c r="H180"/>
  <c r="H182"/>
  <c r="H183"/>
  <c r="H184"/>
  <c r="N176"/>
  <c r="O176"/>
  <c r="P176"/>
  <c r="N177"/>
  <c r="O177"/>
  <c r="P177"/>
  <c r="N178"/>
  <c r="O178"/>
  <c r="P178"/>
  <c r="N179"/>
  <c r="O179"/>
  <c r="P179"/>
  <c r="N180"/>
  <c r="O180"/>
  <c r="P180"/>
  <c r="N182"/>
  <c r="O182"/>
  <c r="P182"/>
  <c r="N183"/>
  <c r="O183"/>
  <c r="P183"/>
  <c r="M130" l="1"/>
  <c r="M33"/>
  <c r="M30"/>
  <c r="M32"/>
  <c r="M45"/>
  <c r="M88"/>
  <c r="M121"/>
  <c r="M191"/>
  <c r="M201"/>
  <c r="M211"/>
  <c r="M221"/>
  <c r="M231"/>
  <c r="M268"/>
  <c r="M271"/>
  <c r="M379"/>
  <c r="M380"/>
  <c r="M381"/>
  <c r="M507"/>
  <c r="M516"/>
  <c r="M549"/>
  <c r="O1050"/>
  <c r="R33" i="39" s="1"/>
  <c r="M475" i="7"/>
  <c r="M505"/>
  <c r="M506"/>
  <c r="O169"/>
  <c r="O171" s="1"/>
  <c r="M263"/>
  <c r="M265"/>
  <c r="M266"/>
  <c r="M328"/>
  <c r="M337"/>
  <c r="M511"/>
  <c r="M513"/>
  <c r="M514"/>
  <c r="M28"/>
  <c r="M29"/>
  <c r="M35"/>
  <c r="M181"/>
  <c r="M261"/>
  <c r="M262"/>
  <c r="M269"/>
  <c r="M270"/>
  <c r="M429"/>
  <c r="M509"/>
  <c r="M510"/>
  <c r="M31"/>
  <c r="M34"/>
  <c r="M78"/>
  <c r="M241"/>
  <c r="M251"/>
  <c r="M264"/>
  <c r="M272"/>
  <c r="M282"/>
  <c r="M298"/>
  <c r="M376"/>
  <c r="M377"/>
  <c r="M378"/>
  <c r="M386"/>
  <c r="M485"/>
  <c r="M508"/>
  <c r="M512"/>
  <c r="M536"/>
  <c r="M212"/>
  <c r="M240"/>
  <c r="M238"/>
  <c r="M236"/>
  <c r="M239"/>
  <c r="M237"/>
  <c r="M234"/>
  <c r="M232"/>
  <c r="M235"/>
  <c r="M233"/>
  <c r="M219"/>
  <c r="M217"/>
  <c r="M215"/>
  <c r="M220"/>
  <c r="M213"/>
  <c r="M218"/>
  <c r="M216"/>
  <c r="M214"/>
  <c r="M209"/>
  <c r="M210"/>
  <c r="M182"/>
  <c r="M180"/>
  <c r="M178"/>
  <c r="M183"/>
  <c r="M179"/>
  <c r="M177"/>
  <c r="M176"/>
  <c r="R415" l="1"/>
  <c r="N49"/>
  <c r="P49"/>
  <c r="H46"/>
  <c r="N46"/>
  <c r="P46"/>
  <c r="M49" l="1"/>
  <c r="M46"/>
  <c r="K584"/>
  <c r="J584"/>
  <c r="I584"/>
  <c r="P583"/>
  <c r="O583"/>
  <c r="N583"/>
  <c r="H583"/>
  <c r="P581"/>
  <c r="O581"/>
  <c r="N581"/>
  <c r="H581"/>
  <c r="P580"/>
  <c r="O580"/>
  <c r="N580"/>
  <c r="H580"/>
  <c r="P579"/>
  <c r="O579"/>
  <c r="N579"/>
  <c r="H579"/>
  <c r="P578"/>
  <c r="O578"/>
  <c r="N578"/>
  <c r="H578"/>
  <c r="P577"/>
  <c r="O577"/>
  <c r="N577"/>
  <c r="H577"/>
  <c r="P576"/>
  <c r="O576"/>
  <c r="N576"/>
  <c r="H576"/>
  <c r="P572"/>
  <c r="O572"/>
  <c r="N572"/>
  <c r="H572"/>
  <c r="P557"/>
  <c r="O557"/>
  <c r="N557"/>
  <c r="H557"/>
  <c r="P556"/>
  <c r="O556"/>
  <c r="N556"/>
  <c r="H556"/>
  <c r="P555"/>
  <c r="O555"/>
  <c r="N555"/>
  <c r="H555"/>
  <c r="P552"/>
  <c r="O552"/>
  <c r="N552"/>
  <c r="H552"/>
  <c r="P551"/>
  <c r="O551"/>
  <c r="N551"/>
  <c r="H551"/>
  <c r="P550"/>
  <c r="O550"/>
  <c r="N550"/>
  <c r="H550"/>
  <c r="P548"/>
  <c r="O548"/>
  <c r="N548"/>
  <c r="H548"/>
  <c r="P547"/>
  <c r="O547"/>
  <c r="N547"/>
  <c r="H547"/>
  <c r="P546"/>
  <c r="O546"/>
  <c r="N546"/>
  <c r="H546"/>
  <c r="P545"/>
  <c r="O545"/>
  <c r="N545"/>
  <c r="H545"/>
  <c r="P544"/>
  <c r="O544"/>
  <c r="N544"/>
  <c r="H544"/>
  <c r="P543"/>
  <c r="O543"/>
  <c r="N543"/>
  <c r="H543"/>
  <c r="P542"/>
  <c r="O542"/>
  <c r="N542"/>
  <c r="H542"/>
  <c r="P538"/>
  <c r="O538"/>
  <c r="N538"/>
  <c r="H538"/>
  <c r="P537"/>
  <c r="O537"/>
  <c r="N537"/>
  <c r="H537"/>
  <c r="P535"/>
  <c r="O535"/>
  <c r="N535"/>
  <c r="H535"/>
  <c r="P524"/>
  <c r="O524"/>
  <c r="N524"/>
  <c r="H524"/>
  <c r="P523"/>
  <c r="O523"/>
  <c r="N523"/>
  <c r="H523"/>
  <c r="P522"/>
  <c r="O522"/>
  <c r="N522"/>
  <c r="H522"/>
  <c r="P521"/>
  <c r="O521"/>
  <c r="N521"/>
  <c r="H521"/>
  <c r="P520"/>
  <c r="O520"/>
  <c r="N520"/>
  <c r="H520"/>
  <c r="P519"/>
  <c r="O519"/>
  <c r="N519"/>
  <c r="H519"/>
  <c r="P517"/>
  <c r="O517"/>
  <c r="N517"/>
  <c r="H517"/>
  <c r="P504"/>
  <c r="O504"/>
  <c r="N504"/>
  <c r="H504"/>
  <c r="P503"/>
  <c r="O503"/>
  <c r="N503"/>
  <c r="H503"/>
  <c r="P491"/>
  <c r="O491"/>
  <c r="N491"/>
  <c r="H491"/>
  <c r="P490"/>
  <c r="O490"/>
  <c r="N490"/>
  <c r="H490"/>
  <c r="P489"/>
  <c r="O489"/>
  <c r="N489"/>
  <c r="H489"/>
  <c r="P488"/>
  <c r="O488"/>
  <c r="N488"/>
  <c r="H488"/>
  <c r="P486"/>
  <c r="O486"/>
  <c r="N486"/>
  <c r="H486"/>
  <c r="P484"/>
  <c r="O484"/>
  <c r="N484"/>
  <c r="H484"/>
  <c r="P483"/>
  <c r="O483"/>
  <c r="N483"/>
  <c r="H483"/>
  <c r="P482"/>
  <c r="O482"/>
  <c r="N482"/>
  <c r="H482"/>
  <c r="P481"/>
  <c r="O481"/>
  <c r="N481"/>
  <c r="H481"/>
  <c r="P480"/>
  <c r="O480"/>
  <c r="N480"/>
  <c r="H480"/>
  <c r="P479"/>
  <c r="O479"/>
  <c r="N479"/>
  <c r="H479"/>
  <c r="P478"/>
  <c r="O478"/>
  <c r="N478"/>
  <c r="H478"/>
  <c r="P477"/>
  <c r="O477"/>
  <c r="N477"/>
  <c r="H477"/>
  <c r="P476"/>
  <c r="O476"/>
  <c r="N476"/>
  <c r="H476"/>
  <c r="P474"/>
  <c r="O474"/>
  <c r="N474"/>
  <c r="H474"/>
  <c r="P473"/>
  <c r="O473"/>
  <c r="N473"/>
  <c r="H473"/>
  <c r="P472"/>
  <c r="O472"/>
  <c r="N472"/>
  <c r="H472"/>
  <c r="P471"/>
  <c r="O471"/>
  <c r="N471"/>
  <c r="H471"/>
  <c r="P470"/>
  <c r="O470"/>
  <c r="N470"/>
  <c r="P462"/>
  <c r="O462"/>
  <c r="N462"/>
  <c r="H462"/>
  <c r="P461"/>
  <c r="O461"/>
  <c r="N461"/>
  <c r="H461"/>
  <c r="P460"/>
  <c r="O460"/>
  <c r="N460"/>
  <c r="H460"/>
  <c r="Q456"/>
  <c r="P455"/>
  <c r="N455"/>
  <c r="H455"/>
  <c r="P452"/>
  <c r="N452"/>
  <c r="P451"/>
  <c r="N451"/>
  <c r="P438"/>
  <c r="N438"/>
  <c r="H438"/>
  <c r="P437"/>
  <c r="N437"/>
  <c r="H437"/>
  <c r="P427"/>
  <c r="N427"/>
  <c r="P420"/>
  <c r="N420"/>
  <c r="P419"/>
  <c r="N419"/>
  <c r="P418"/>
  <c r="N418"/>
  <c r="P416"/>
  <c r="N416"/>
  <c r="H416"/>
  <c r="P375"/>
  <c r="N375"/>
  <c r="H375"/>
  <c r="P374"/>
  <c r="N374"/>
  <c r="H374"/>
  <c r="P373"/>
  <c r="N373"/>
  <c r="H373"/>
  <c r="P372"/>
  <c r="N372"/>
  <c r="H372"/>
  <c r="P339"/>
  <c r="N339"/>
  <c r="H339"/>
  <c r="U300" s="1"/>
  <c r="P338"/>
  <c r="N338"/>
  <c r="H338"/>
  <c r="P336"/>
  <c r="N336"/>
  <c r="H336"/>
  <c r="P335"/>
  <c r="N335"/>
  <c r="H335"/>
  <c r="P334"/>
  <c r="N334"/>
  <c r="H334"/>
  <c r="P333"/>
  <c r="N333"/>
  <c r="H333"/>
  <c r="P332"/>
  <c r="N332"/>
  <c r="H332"/>
  <c r="P331"/>
  <c r="N331"/>
  <c r="H331"/>
  <c r="P330"/>
  <c r="N330"/>
  <c r="H330"/>
  <c r="P329"/>
  <c r="N329"/>
  <c r="H329"/>
  <c r="P327"/>
  <c r="N327"/>
  <c r="H327"/>
  <c r="P326"/>
  <c r="N326"/>
  <c r="H326"/>
  <c r="P325"/>
  <c r="N325"/>
  <c r="H325"/>
  <c r="P313"/>
  <c r="N313"/>
  <c r="H313"/>
  <c r="P312"/>
  <c r="N312"/>
  <c r="H312"/>
  <c r="P311"/>
  <c r="N311"/>
  <c r="H311"/>
  <c r="P310"/>
  <c r="N310"/>
  <c r="H310"/>
  <c r="P297"/>
  <c r="N297"/>
  <c r="H297"/>
  <c r="P296"/>
  <c r="N296"/>
  <c r="H296"/>
  <c r="P295"/>
  <c r="N295"/>
  <c r="H295"/>
  <c r="P294"/>
  <c r="N294"/>
  <c r="H294"/>
  <c r="K289"/>
  <c r="J289"/>
  <c r="I289"/>
  <c r="P288"/>
  <c r="O288"/>
  <c r="N288"/>
  <c r="H288"/>
  <c r="P287"/>
  <c r="O287"/>
  <c r="N287"/>
  <c r="H287"/>
  <c r="P286"/>
  <c r="O286"/>
  <c r="N286"/>
  <c r="H286"/>
  <c r="P285"/>
  <c r="O285"/>
  <c r="N285"/>
  <c r="H285"/>
  <c r="P284"/>
  <c r="O284"/>
  <c r="N284"/>
  <c r="H284"/>
  <c r="P283"/>
  <c r="O283"/>
  <c r="N283"/>
  <c r="H283"/>
  <c r="P281"/>
  <c r="O281"/>
  <c r="N281"/>
  <c r="H281"/>
  <c r="P280"/>
  <c r="O280"/>
  <c r="N280"/>
  <c r="H280"/>
  <c r="P279"/>
  <c r="O279"/>
  <c r="N279"/>
  <c r="H279"/>
  <c r="P278"/>
  <c r="O278"/>
  <c r="N278"/>
  <c r="H278"/>
  <c r="P277"/>
  <c r="O277"/>
  <c r="N277"/>
  <c r="H277"/>
  <c r="P276"/>
  <c r="O276"/>
  <c r="N276"/>
  <c r="H276"/>
  <c r="P275"/>
  <c r="O275"/>
  <c r="N275"/>
  <c r="H275"/>
  <c r="P274"/>
  <c r="O274"/>
  <c r="N274"/>
  <c r="H274"/>
  <c r="P273"/>
  <c r="O273"/>
  <c r="N273"/>
  <c r="H273"/>
  <c r="P260"/>
  <c r="O260"/>
  <c r="N260"/>
  <c r="H260"/>
  <c r="P259"/>
  <c r="O259"/>
  <c r="N259"/>
  <c r="H259"/>
  <c r="P258"/>
  <c r="O258"/>
  <c r="N258"/>
  <c r="H258"/>
  <c r="P257"/>
  <c r="O257"/>
  <c r="N257"/>
  <c r="H257"/>
  <c r="P256"/>
  <c r="O256"/>
  <c r="N256"/>
  <c r="H256"/>
  <c r="P255"/>
  <c r="O255"/>
  <c r="N255"/>
  <c r="H255"/>
  <c r="P254"/>
  <c r="O254"/>
  <c r="N254"/>
  <c r="H254"/>
  <c r="P253"/>
  <c r="O253"/>
  <c r="N253"/>
  <c r="H253"/>
  <c r="P252"/>
  <c r="O252"/>
  <c r="N252"/>
  <c r="H252"/>
  <c r="P250"/>
  <c r="O250"/>
  <c r="N250"/>
  <c r="H250"/>
  <c r="P249"/>
  <c r="O249"/>
  <c r="N249"/>
  <c r="H249"/>
  <c r="P248"/>
  <c r="O248"/>
  <c r="N248"/>
  <c r="H248"/>
  <c r="P247"/>
  <c r="O247"/>
  <c r="N247"/>
  <c r="H247"/>
  <c r="P246"/>
  <c r="O246"/>
  <c r="N246"/>
  <c r="H246"/>
  <c r="P245"/>
  <c r="O245"/>
  <c r="N245"/>
  <c r="H245"/>
  <c r="P244"/>
  <c r="O244"/>
  <c r="N244"/>
  <c r="H244"/>
  <c r="P243"/>
  <c r="O243"/>
  <c r="N243"/>
  <c r="H243"/>
  <c r="P242"/>
  <c r="O242"/>
  <c r="N242"/>
  <c r="H242"/>
  <c r="P230"/>
  <c r="O230"/>
  <c r="N230"/>
  <c r="H230"/>
  <c r="P229"/>
  <c r="O229"/>
  <c r="N229"/>
  <c r="H229"/>
  <c r="P228"/>
  <c r="O228"/>
  <c r="N228"/>
  <c r="H228"/>
  <c r="P227"/>
  <c r="O227"/>
  <c r="N227"/>
  <c r="H227"/>
  <c r="P226"/>
  <c r="O226"/>
  <c r="N226"/>
  <c r="H226"/>
  <c r="P225"/>
  <c r="O225"/>
  <c r="N225"/>
  <c r="H225"/>
  <c r="P224"/>
  <c r="O224"/>
  <c r="N224"/>
  <c r="H224"/>
  <c r="P223"/>
  <c r="O223"/>
  <c r="N223"/>
  <c r="H223"/>
  <c r="P222"/>
  <c r="O222"/>
  <c r="N222"/>
  <c r="H222"/>
  <c r="H220"/>
  <c r="P208"/>
  <c r="O208"/>
  <c r="N208"/>
  <c r="H208"/>
  <c r="P207"/>
  <c r="O207"/>
  <c r="N207"/>
  <c r="H207"/>
  <c r="P206"/>
  <c r="O206"/>
  <c r="N206"/>
  <c r="H206"/>
  <c r="P205"/>
  <c r="O205"/>
  <c r="N205"/>
  <c r="H205"/>
  <c r="P204"/>
  <c r="O204"/>
  <c r="N204"/>
  <c r="H204"/>
  <c r="P203"/>
  <c r="O203"/>
  <c r="N203"/>
  <c r="H203"/>
  <c r="P202"/>
  <c r="O202"/>
  <c r="N202"/>
  <c r="H202"/>
  <c r="P200"/>
  <c r="O200"/>
  <c r="N200"/>
  <c r="H200"/>
  <c r="P199"/>
  <c r="O199"/>
  <c r="N199"/>
  <c r="H199"/>
  <c r="P198"/>
  <c r="O198"/>
  <c r="N198"/>
  <c r="H198"/>
  <c r="P197"/>
  <c r="O197"/>
  <c r="N197"/>
  <c r="H197"/>
  <c r="P196"/>
  <c r="O196"/>
  <c r="N196"/>
  <c r="H196"/>
  <c r="P195"/>
  <c r="O195"/>
  <c r="N195"/>
  <c r="H195"/>
  <c r="P194"/>
  <c r="O194"/>
  <c r="N194"/>
  <c r="H194"/>
  <c r="P193"/>
  <c r="O193"/>
  <c r="N193"/>
  <c r="H193"/>
  <c r="P192"/>
  <c r="O192"/>
  <c r="N192"/>
  <c r="H192"/>
  <c r="P190"/>
  <c r="O190"/>
  <c r="N190"/>
  <c r="H190"/>
  <c r="P189"/>
  <c r="O189"/>
  <c r="N189"/>
  <c r="H189"/>
  <c r="P188"/>
  <c r="O188"/>
  <c r="N188"/>
  <c r="H188"/>
  <c r="P187"/>
  <c r="O187"/>
  <c r="N187"/>
  <c r="H187"/>
  <c r="P186"/>
  <c r="O186"/>
  <c r="N186"/>
  <c r="H186"/>
  <c r="P185"/>
  <c r="O185"/>
  <c r="N185"/>
  <c r="H185"/>
  <c r="P184"/>
  <c r="O184"/>
  <c r="N184"/>
  <c r="P175"/>
  <c r="O175"/>
  <c r="N175"/>
  <c r="H175"/>
  <c r="P174"/>
  <c r="O174"/>
  <c r="N174"/>
  <c r="H174"/>
  <c r="P173"/>
  <c r="O173"/>
  <c r="N173"/>
  <c r="H173"/>
  <c r="P168"/>
  <c r="N168"/>
  <c r="H168"/>
  <c r="P167"/>
  <c r="N167"/>
  <c r="H167"/>
  <c r="P166"/>
  <c r="N166"/>
  <c r="H166"/>
  <c r="P165"/>
  <c r="N165"/>
  <c r="H165"/>
  <c r="P164"/>
  <c r="N164"/>
  <c r="H164"/>
  <c r="P132"/>
  <c r="N132"/>
  <c r="H132"/>
  <c r="P131"/>
  <c r="N131"/>
  <c r="H131"/>
  <c r="P129"/>
  <c r="N129"/>
  <c r="H129"/>
  <c r="P128"/>
  <c r="N128"/>
  <c r="H128"/>
  <c r="P127"/>
  <c r="N127"/>
  <c r="H127"/>
  <c r="P126"/>
  <c r="N126"/>
  <c r="H126"/>
  <c r="P125"/>
  <c r="N125"/>
  <c r="H125"/>
  <c r="P124"/>
  <c r="N124"/>
  <c r="H124"/>
  <c r="P123"/>
  <c r="N123"/>
  <c r="H123"/>
  <c r="P122"/>
  <c r="N122"/>
  <c r="H122"/>
  <c r="P120"/>
  <c r="N120"/>
  <c r="H120"/>
  <c r="P119"/>
  <c r="N119"/>
  <c r="H119"/>
  <c r="P118"/>
  <c r="N118"/>
  <c r="P117"/>
  <c r="N117"/>
  <c r="P93"/>
  <c r="N93"/>
  <c r="H93"/>
  <c r="P92"/>
  <c r="N92"/>
  <c r="H92"/>
  <c r="P91"/>
  <c r="N91"/>
  <c r="H91"/>
  <c r="P90"/>
  <c r="N90"/>
  <c r="H90"/>
  <c r="P89"/>
  <c r="N89"/>
  <c r="H89"/>
  <c r="P87"/>
  <c r="N87"/>
  <c r="H87"/>
  <c r="P86"/>
  <c r="N86"/>
  <c r="H86"/>
  <c r="P85"/>
  <c r="N85"/>
  <c r="H85"/>
  <c r="P84"/>
  <c r="N84"/>
  <c r="H84"/>
  <c r="P83"/>
  <c r="N83"/>
  <c r="H83"/>
  <c r="P82"/>
  <c r="N82"/>
  <c r="H82"/>
  <c r="P81"/>
  <c r="N81"/>
  <c r="H81"/>
  <c r="P80"/>
  <c r="N80"/>
  <c r="H80"/>
  <c r="P79"/>
  <c r="N79"/>
  <c r="H79"/>
  <c r="P77"/>
  <c r="N77"/>
  <c r="H77"/>
  <c r="P76"/>
  <c r="N76"/>
  <c r="P51"/>
  <c r="N51"/>
  <c r="H51"/>
  <c r="P50"/>
  <c r="N50"/>
  <c r="H50"/>
  <c r="H49"/>
  <c r="P48"/>
  <c r="N48"/>
  <c r="H48"/>
  <c r="P47"/>
  <c r="N47"/>
  <c r="H47"/>
  <c r="P44"/>
  <c r="N44"/>
  <c r="H44"/>
  <c r="P43"/>
  <c r="N43"/>
  <c r="H43"/>
  <c r="P42"/>
  <c r="N42"/>
  <c r="H42"/>
  <c r="P41"/>
  <c r="N41"/>
  <c r="H41"/>
  <c r="P40"/>
  <c r="N40"/>
  <c r="H40"/>
  <c r="P39"/>
  <c r="N39"/>
  <c r="H39"/>
  <c r="P38"/>
  <c r="N38"/>
  <c r="H38"/>
  <c r="P37"/>
  <c r="N37"/>
  <c r="H37"/>
  <c r="P36"/>
  <c r="N36"/>
  <c r="H36"/>
  <c r="U13" s="1"/>
  <c r="X13" s="1"/>
  <c r="P11"/>
  <c r="N11"/>
  <c r="H11"/>
  <c r="P10"/>
  <c r="N10"/>
  <c r="H10"/>
  <c r="P9"/>
  <c r="N9"/>
  <c r="H9"/>
  <c r="P8"/>
  <c r="N8"/>
  <c r="H8"/>
  <c r="P7"/>
  <c r="N7"/>
  <c r="H7"/>
  <c r="U7" l="1"/>
  <c r="U12"/>
  <c r="X12" s="1"/>
  <c r="U294"/>
  <c r="AB1190" s="1"/>
  <c r="U10"/>
  <c r="X10" s="1"/>
  <c r="U296"/>
  <c r="X296" s="1"/>
  <c r="AE1192" s="1"/>
  <c r="I1321" s="1"/>
  <c r="H1321" s="1"/>
  <c r="U299"/>
  <c r="AB1195" s="1"/>
  <c r="AB1192"/>
  <c r="X300"/>
  <c r="AE1196" s="1"/>
  <c r="AB1196"/>
  <c r="U9"/>
  <c r="X9" s="1"/>
  <c r="U11"/>
  <c r="X11" s="1"/>
  <c r="X7"/>
  <c r="U297"/>
  <c r="U298"/>
  <c r="N169"/>
  <c r="N171" s="1"/>
  <c r="P169"/>
  <c r="H169"/>
  <c r="M418"/>
  <c r="M538"/>
  <c r="M462"/>
  <c r="M174"/>
  <c r="M224"/>
  <c r="M247"/>
  <c r="M255"/>
  <c r="M259"/>
  <c r="M260"/>
  <c r="M556"/>
  <c r="M557"/>
  <c r="M576"/>
  <c r="M578"/>
  <c r="M580"/>
  <c r="M87"/>
  <c r="M89"/>
  <c r="M117"/>
  <c r="M124"/>
  <c r="M123"/>
  <c r="M295"/>
  <c r="M296"/>
  <c r="M460"/>
  <c r="M461"/>
  <c r="M503"/>
  <c r="M335"/>
  <c r="M336"/>
  <c r="M416"/>
  <c r="M9"/>
  <c r="M325"/>
  <c r="M329"/>
  <c r="M330"/>
  <c r="M331"/>
  <c r="M375"/>
  <c r="M473"/>
  <c r="M477"/>
  <c r="M481"/>
  <c r="M483"/>
  <c r="M484"/>
  <c r="M521"/>
  <c r="M537"/>
  <c r="M81"/>
  <c r="M84"/>
  <c r="M86"/>
  <c r="M198"/>
  <c r="M205"/>
  <c r="M222"/>
  <c r="M223"/>
  <c r="H456"/>
  <c r="M311"/>
  <c r="M313"/>
  <c r="M372"/>
  <c r="M374"/>
  <c r="M455"/>
  <c r="M476"/>
  <c r="M490"/>
  <c r="M519"/>
  <c r="M520"/>
  <c r="M545"/>
  <c r="M547"/>
  <c r="M548"/>
  <c r="M579"/>
  <c r="N289"/>
  <c r="N291" s="1"/>
  <c r="M8"/>
  <c r="M48"/>
  <c r="M165"/>
  <c r="M167"/>
  <c r="M168"/>
  <c r="M190"/>
  <c r="M194"/>
  <c r="M196"/>
  <c r="M197"/>
  <c r="M243"/>
  <c r="M245"/>
  <c r="M246"/>
  <c r="M280"/>
  <c r="M284"/>
  <c r="M287"/>
  <c r="M288"/>
  <c r="N456"/>
  <c r="N458" s="1"/>
  <c r="P456"/>
  <c r="M310"/>
  <c r="M327"/>
  <c r="M333"/>
  <c r="M334"/>
  <c r="M339"/>
  <c r="M420"/>
  <c r="M427"/>
  <c r="M437"/>
  <c r="M438"/>
  <c r="M451"/>
  <c r="M452"/>
  <c r="H584"/>
  <c r="M471"/>
  <c r="M472"/>
  <c r="M479"/>
  <c r="M480"/>
  <c r="M488"/>
  <c r="M489"/>
  <c r="M523"/>
  <c r="M524"/>
  <c r="M543"/>
  <c r="M544"/>
  <c r="M551"/>
  <c r="M552"/>
  <c r="M572"/>
  <c r="M583"/>
  <c r="O456"/>
  <c r="O458" s="1"/>
  <c r="M297"/>
  <c r="M312"/>
  <c r="M326"/>
  <c r="M332"/>
  <c r="M338"/>
  <c r="M373"/>
  <c r="M419"/>
  <c r="P584"/>
  <c r="P289"/>
  <c r="M38"/>
  <c r="M39"/>
  <c r="M40"/>
  <c r="M80"/>
  <c r="M91"/>
  <c r="M92"/>
  <c r="M93"/>
  <c r="M127"/>
  <c r="M129"/>
  <c r="M186"/>
  <c r="M188"/>
  <c r="M189"/>
  <c r="M203"/>
  <c r="M204"/>
  <c r="M228"/>
  <c r="M230"/>
  <c r="M253"/>
  <c r="M254"/>
  <c r="M276"/>
  <c r="M278"/>
  <c r="M279"/>
  <c r="O584"/>
  <c r="O586" s="1"/>
  <c r="M470"/>
  <c r="M474"/>
  <c r="M478"/>
  <c r="M482"/>
  <c r="M486"/>
  <c r="M491"/>
  <c r="M504"/>
  <c r="M517"/>
  <c r="M522"/>
  <c r="M535"/>
  <c r="M542"/>
  <c r="M546"/>
  <c r="M550"/>
  <c r="M555"/>
  <c r="M577"/>
  <c r="M581"/>
  <c r="N584"/>
  <c r="N586" s="1"/>
  <c r="M294"/>
  <c r="M184"/>
  <c r="M185"/>
  <c r="M192"/>
  <c r="M193"/>
  <c r="M200"/>
  <c r="M207"/>
  <c r="M208"/>
  <c r="M226"/>
  <c r="M227"/>
  <c r="M242"/>
  <c r="M249"/>
  <c r="M250"/>
  <c r="M257"/>
  <c r="M258"/>
  <c r="M274"/>
  <c r="M275"/>
  <c r="M283"/>
  <c r="H289"/>
  <c r="O289"/>
  <c r="O291" s="1"/>
  <c r="M175"/>
  <c r="M187"/>
  <c r="M195"/>
  <c r="M199"/>
  <c r="M202"/>
  <c r="M206"/>
  <c r="M225"/>
  <c r="M229"/>
  <c r="M244"/>
  <c r="M248"/>
  <c r="M252"/>
  <c r="M256"/>
  <c r="M273"/>
  <c r="M277"/>
  <c r="M281"/>
  <c r="M285"/>
  <c r="M286"/>
  <c r="M36"/>
  <c r="M37"/>
  <c r="M42"/>
  <c r="M43"/>
  <c r="M44"/>
  <c r="M76"/>
  <c r="M77"/>
  <c r="M82"/>
  <c r="M83"/>
  <c r="M90"/>
  <c r="M119"/>
  <c r="M120"/>
  <c r="M126"/>
  <c r="M132"/>
  <c r="M164"/>
  <c r="M10"/>
  <c r="M11"/>
  <c r="M41"/>
  <c r="M47"/>
  <c r="M50"/>
  <c r="M51"/>
  <c r="M79"/>
  <c r="M85"/>
  <c r="M118"/>
  <c r="M122"/>
  <c r="M125"/>
  <c r="M128"/>
  <c r="M131"/>
  <c r="M166"/>
  <c r="M173"/>
  <c r="M7"/>
  <c r="X294" l="1"/>
  <c r="AE1190" s="1"/>
  <c r="I1336" s="1"/>
  <c r="I1319"/>
  <c r="H1319" s="1"/>
  <c r="I1320"/>
  <c r="H1320" s="1"/>
  <c r="X299"/>
  <c r="AE1195" s="1"/>
  <c r="I1276" s="1"/>
  <c r="I1335"/>
  <c r="I1195"/>
  <c r="I1317"/>
  <c r="I1213"/>
  <c r="I1219"/>
  <c r="X297"/>
  <c r="AE1193" s="1"/>
  <c r="AB1193"/>
  <c r="X298"/>
  <c r="AE1194" s="1"/>
  <c r="AB1194"/>
  <c r="I1313"/>
  <c r="I1348"/>
  <c r="I1327"/>
  <c r="I1297"/>
  <c r="I1281"/>
  <c r="H1281" s="1"/>
  <c r="I1268"/>
  <c r="I1247"/>
  <c r="I1221"/>
  <c r="I1191"/>
  <c r="I1337"/>
  <c r="I1287"/>
  <c r="I1257"/>
  <c r="I1231"/>
  <c r="I1280"/>
  <c r="H1280" s="1"/>
  <c r="I1236"/>
  <c r="H1236" s="1"/>
  <c r="I1331"/>
  <c r="I1303"/>
  <c r="I1273"/>
  <c r="I1251"/>
  <c r="I1226"/>
  <c r="I1205"/>
  <c r="I1308"/>
  <c r="I1209"/>
  <c r="I1343"/>
  <c r="I1291"/>
  <c r="I1263"/>
  <c r="I1215"/>
  <c r="I1307"/>
  <c r="I1272"/>
  <c r="U14"/>
  <c r="U301"/>
  <c r="R168"/>
  <c r="R128"/>
  <c r="R88"/>
  <c r="R455"/>
  <c r="R375"/>
  <c r="D5" i="4"/>
  <c r="D9" s="1"/>
  <c r="E5"/>
  <c r="E9" s="1"/>
  <c r="F10" s="1"/>
  <c r="R46" i="7"/>
  <c r="R288"/>
  <c r="R259"/>
  <c r="R230"/>
  <c r="R200"/>
  <c r="R333"/>
  <c r="R583"/>
  <c r="R552"/>
  <c r="R488"/>
  <c r="R520"/>
  <c r="M169"/>
  <c r="F80" i="14"/>
  <c r="E80"/>
  <c r="D80"/>
  <c r="C80"/>
  <c r="F76"/>
  <c r="E76"/>
  <c r="D76"/>
  <c r="C76"/>
  <c r="F72"/>
  <c r="E72"/>
  <c r="D72"/>
  <c r="C72"/>
  <c r="F14"/>
  <c r="E14"/>
  <c r="D14"/>
  <c r="C14"/>
  <c r="C8"/>
  <c r="E8"/>
  <c r="E205" s="1"/>
  <c r="E210" s="1"/>
  <c r="E219" s="1"/>
  <c r="F8"/>
  <c r="D8"/>
  <c r="F68"/>
  <c r="E68"/>
  <c r="D68"/>
  <c r="C68"/>
  <c r="F64"/>
  <c r="E64"/>
  <c r="D64"/>
  <c r="C64"/>
  <c r="F116"/>
  <c r="E116"/>
  <c r="D116"/>
  <c r="C116"/>
  <c r="F60"/>
  <c r="E60"/>
  <c r="D60"/>
  <c r="C60"/>
  <c r="C148"/>
  <c r="D148"/>
  <c r="E148"/>
  <c r="C132"/>
  <c r="D132"/>
  <c r="E132"/>
  <c r="C136"/>
  <c r="D136"/>
  <c r="E136"/>
  <c r="C144"/>
  <c r="D144"/>
  <c r="E144"/>
  <c r="C140"/>
  <c r="D140"/>
  <c r="E140"/>
  <c r="C128"/>
  <c r="D128"/>
  <c r="E128"/>
  <c r="C56"/>
  <c r="D56"/>
  <c r="E56"/>
  <c r="C46"/>
  <c r="D46"/>
  <c r="E46"/>
  <c r="C42"/>
  <c r="D42"/>
  <c r="E42"/>
  <c r="I1326" i="7" l="1"/>
  <c r="N1326" s="1"/>
  <c r="M1326" s="1"/>
  <c r="I1312"/>
  <c r="I1220"/>
  <c r="N1220" s="1"/>
  <c r="M1220" s="1"/>
  <c r="I1230"/>
  <c r="N1230" s="1"/>
  <c r="M1230" s="1"/>
  <c r="I1214"/>
  <c r="H1214" s="1"/>
  <c r="I1208"/>
  <c r="N1208" s="1"/>
  <c r="M1208" s="1"/>
  <c r="I1190"/>
  <c r="H1190" s="1"/>
  <c r="I1290"/>
  <c r="H1290" s="1"/>
  <c r="I1330"/>
  <c r="N1330" s="1"/>
  <c r="M1330" s="1"/>
  <c r="I1225"/>
  <c r="N1225" s="1"/>
  <c r="M1225" s="1"/>
  <c r="I1342"/>
  <c r="H1342" s="1"/>
  <c r="I1302"/>
  <c r="N1302" s="1"/>
  <c r="M1302" s="1"/>
  <c r="I1267"/>
  <c r="N1267" s="1"/>
  <c r="M1267" s="1"/>
  <c r="I1286"/>
  <c r="I1250"/>
  <c r="H1250" s="1"/>
  <c r="I1347"/>
  <c r="N1347" s="1"/>
  <c r="M1347" s="1"/>
  <c r="I1262"/>
  <c r="H1262" s="1"/>
  <c r="I1204"/>
  <c r="N1204" s="1"/>
  <c r="M1204" s="1"/>
  <c r="I1296"/>
  <c r="H1296" s="1"/>
  <c r="I1256"/>
  <c r="H1256" s="1"/>
  <c r="I1246"/>
  <c r="H1246" s="1"/>
  <c r="I1207"/>
  <c r="H1207" s="1"/>
  <c r="I1254"/>
  <c r="N1254" s="1"/>
  <c r="M1254" s="1"/>
  <c r="I1194"/>
  <c r="I1249"/>
  <c r="H1249" s="1"/>
  <c r="I1316"/>
  <c r="N1316" s="1"/>
  <c r="M1316" s="1"/>
  <c r="I1300"/>
  <c r="H1300" s="1"/>
  <c r="I1271"/>
  <c r="H1271" s="1"/>
  <c r="I1311"/>
  <c r="N1311" s="1"/>
  <c r="M1311" s="1"/>
  <c r="I1234"/>
  <c r="N1234" s="1"/>
  <c r="M1234" s="1"/>
  <c r="I1224"/>
  <c r="N1224" s="1"/>
  <c r="M1224" s="1"/>
  <c r="I1289"/>
  <c r="N1289" s="1"/>
  <c r="M1289" s="1"/>
  <c r="I1212"/>
  <c r="N1212" s="1"/>
  <c r="M1212" s="1"/>
  <c r="I1351"/>
  <c r="N1351" s="1"/>
  <c r="M1351" s="1"/>
  <c r="I1329"/>
  <c r="H1329" s="1"/>
  <c r="I1266"/>
  <c r="N1266" s="1"/>
  <c r="M1266" s="1"/>
  <c r="I1229"/>
  <c r="N1229" s="1"/>
  <c r="M1229" s="1"/>
  <c r="I1340"/>
  <c r="N1340" s="1"/>
  <c r="M1340" s="1"/>
  <c r="I1306"/>
  <c r="N1306" s="1"/>
  <c r="M1306" s="1"/>
  <c r="I1346"/>
  <c r="H1346" s="1"/>
  <c r="I1218"/>
  <c r="N1218" s="1"/>
  <c r="M1218" s="1"/>
  <c r="I1334"/>
  <c r="N1334" s="1"/>
  <c r="M1334" s="1"/>
  <c r="I1294"/>
  <c r="H1294" s="1"/>
  <c r="I1260"/>
  <c r="H1260" s="1"/>
  <c r="H1326"/>
  <c r="H1272"/>
  <c r="N1272"/>
  <c r="M1272" s="1"/>
  <c r="H1230"/>
  <c r="H1312"/>
  <c r="N1312"/>
  <c r="M1312" s="1"/>
  <c r="H1307"/>
  <c r="N1307"/>
  <c r="M1307" s="1"/>
  <c r="H1343"/>
  <c r="N1343"/>
  <c r="M1343" s="1"/>
  <c r="H1226"/>
  <c r="N1226"/>
  <c r="M1226" s="1"/>
  <c r="H1331"/>
  <c r="N1331"/>
  <c r="M1331" s="1"/>
  <c r="N1257"/>
  <c r="M1257" s="1"/>
  <c r="H1257"/>
  <c r="H1221"/>
  <c r="N1221"/>
  <c r="M1221" s="1"/>
  <c r="H1297"/>
  <c r="N1297"/>
  <c r="M1297" s="1"/>
  <c r="N1207"/>
  <c r="M1207" s="1"/>
  <c r="H1219"/>
  <c r="N1219"/>
  <c r="M1219" s="1"/>
  <c r="H1335"/>
  <c r="N1335"/>
  <c r="M1335" s="1"/>
  <c r="H1208"/>
  <c r="N1190"/>
  <c r="H1347"/>
  <c r="H1291"/>
  <c r="N1291"/>
  <c r="M1291" s="1"/>
  <c r="H1205"/>
  <c r="N1205"/>
  <c r="M1205" s="1"/>
  <c r="H1303"/>
  <c r="N1303"/>
  <c r="M1303" s="1"/>
  <c r="H1231"/>
  <c r="N1231"/>
  <c r="M1231" s="1"/>
  <c r="H1191"/>
  <c r="N1191"/>
  <c r="M1191" s="1"/>
  <c r="H1313"/>
  <c r="N1313"/>
  <c r="M1313" s="1"/>
  <c r="I1298"/>
  <c r="I1237"/>
  <c r="H1237" s="1"/>
  <c r="I1216"/>
  <c r="I1338"/>
  <c r="I1292"/>
  <c r="I1210"/>
  <c r="I1332"/>
  <c r="I1192"/>
  <c r="I1196"/>
  <c r="H1196" s="1"/>
  <c r="I1314"/>
  <c r="N1271"/>
  <c r="M1271" s="1"/>
  <c r="N1346"/>
  <c r="M1346" s="1"/>
  <c r="H1195"/>
  <c r="N1195"/>
  <c r="M1195" s="1"/>
  <c r="N1342"/>
  <c r="M1342" s="1"/>
  <c r="H1302"/>
  <c r="H1286"/>
  <c r="N1286"/>
  <c r="M1286" s="1"/>
  <c r="N1263"/>
  <c r="M1263" s="1"/>
  <c r="H1263"/>
  <c r="H1308"/>
  <c r="N1308"/>
  <c r="M1308" s="1"/>
  <c r="H1273"/>
  <c r="N1273"/>
  <c r="M1273" s="1"/>
  <c r="H1337"/>
  <c r="N1337"/>
  <c r="M1337" s="1"/>
  <c r="H1268"/>
  <c r="N1268"/>
  <c r="M1268" s="1"/>
  <c r="H1348"/>
  <c r="N1348"/>
  <c r="M1348" s="1"/>
  <c r="N1260"/>
  <c r="M1260" s="1"/>
  <c r="H1276"/>
  <c r="N1276"/>
  <c r="M1276" s="1"/>
  <c r="H1317"/>
  <c r="N1317"/>
  <c r="M1317" s="1"/>
  <c r="N1256"/>
  <c r="M1256" s="1"/>
  <c r="H1336"/>
  <c r="N1336"/>
  <c r="M1336" s="1"/>
  <c r="H1215"/>
  <c r="N1215"/>
  <c r="M1215" s="1"/>
  <c r="H1209"/>
  <c r="N1209"/>
  <c r="M1209" s="1"/>
  <c r="N1251"/>
  <c r="M1251" s="1"/>
  <c r="H1251"/>
  <c r="H1287"/>
  <c r="N1287"/>
  <c r="M1287" s="1"/>
  <c r="N1247"/>
  <c r="M1247" s="1"/>
  <c r="H1247"/>
  <c r="H1327"/>
  <c r="N1327"/>
  <c r="M1327" s="1"/>
  <c r="I1350"/>
  <c r="I1328"/>
  <c r="I1305"/>
  <c r="I1259"/>
  <c r="I1233"/>
  <c r="I1211"/>
  <c r="I1315"/>
  <c r="I1270"/>
  <c r="I1248"/>
  <c r="I1345"/>
  <c r="I1275"/>
  <c r="I1228"/>
  <c r="I1333"/>
  <c r="I1310"/>
  <c r="I1288"/>
  <c r="I1265"/>
  <c r="I1217"/>
  <c r="I1193"/>
  <c r="I1339"/>
  <c r="I1293"/>
  <c r="I1223"/>
  <c r="I1299"/>
  <c r="I1253"/>
  <c r="I1206"/>
  <c r="H1194"/>
  <c r="N1194"/>
  <c r="M1194" s="1"/>
  <c r="H1234"/>
  <c r="H1213"/>
  <c r="N1213"/>
  <c r="M1213" s="1"/>
  <c r="E10" i="4"/>
  <c r="C205" i="14"/>
  <c r="C210" s="1"/>
  <c r="C219" s="1"/>
  <c r="D205"/>
  <c r="D210" s="1"/>
  <c r="D219" s="1"/>
  <c r="D207"/>
  <c r="E207"/>
  <c r="E208" s="1"/>
  <c r="E209" s="1"/>
  <c r="E216" s="1"/>
  <c r="C207"/>
  <c r="C208" s="1"/>
  <c r="F205"/>
  <c r="N1296" i="7" l="1"/>
  <c r="M1296" s="1"/>
  <c r="N1294"/>
  <c r="M1294" s="1"/>
  <c r="H1266"/>
  <c r="N1290"/>
  <c r="M1290" s="1"/>
  <c r="H1224"/>
  <c r="H1254"/>
  <c r="H1225"/>
  <c r="H1204"/>
  <c r="N1250"/>
  <c r="M1250" s="1"/>
  <c r="H1289"/>
  <c r="H1306"/>
  <c r="N1329"/>
  <c r="M1329" s="1"/>
  <c r="H1220"/>
  <c r="H1267"/>
  <c r="H1330"/>
  <c r="N1214"/>
  <c r="M1214" s="1"/>
  <c r="N1300"/>
  <c r="M1300" s="1"/>
  <c r="N1246"/>
  <c r="M1246" s="1"/>
  <c r="N1262"/>
  <c r="M1262" s="1"/>
  <c r="H1218"/>
  <c r="H1229"/>
  <c r="H1311"/>
  <c r="H1351"/>
  <c r="N1249"/>
  <c r="M1249" s="1"/>
  <c r="H1334"/>
  <c r="H1340"/>
  <c r="H1316"/>
  <c r="H1212"/>
  <c r="H1253"/>
  <c r="N1253"/>
  <c r="M1253" s="1"/>
  <c r="H1339"/>
  <c r="N1339"/>
  <c r="M1339" s="1"/>
  <c r="H1288"/>
  <c r="N1288"/>
  <c r="M1288" s="1"/>
  <c r="H1275"/>
  <c r="N1275"/>
  <c r="M1275" s="1"/>
  <c r="H1315"/>
  <c r="N1315"/>
  <c r="M1315" s="1"/>
  <c r="H1305"/>
  <c r="N1305"/>
  <c r="M1305" s="1"/>
  <c r="H1292"/>
  <c r="N1292"/>
  <c r="M1292" s="1"/>
  <c r="H1298"/>
  <c r="N1298"/>
  <c r="M1298" s="1"/>
  <c r="U1192"/>
  <c r="X1192" s="1"/>
  <c r="AG1192" s="1"/>
  <c r="H1293"/>
  <c r="N1293"/>
  <c r="M1293" s="1"/>
  <c r="H1265"/>
  <c r="N1265"/>
  <c r="M1265" s="1"/>
  <c r="H1228"/>
  <c r="N1228"/>
  <c r="M1228" s="1"/>
  <c r="H1270"/>
  <c r="N1270"/>
  <c r="M1270" s="1"/>
  <c r="H1259"/>
  <c r="N1259"/>
  <c r="M1259" s="1"/>
  <c r="H1314"/>
  <c r="N1314"/>
  <c r="M1314" s="1"/>
  <c r="H1210"/>
  <c r="N1210"/>
  <c r="M1210" s="1"/>
  <c r="M1190"/>
  <c r="H1206"/>
  <c r="N1206"/>
  <c r="M1206" s="1"/>
  <c r="H1223"/>
  <c r="N1223"/>
  <c r="M1223" s="1"/>
  <c r="H1217"/>
  <c r="N1217"/>
  <c r="M1217" s="1"/>
  <c r="H1333"/>
  <c r="N1333"/>
  <c r="M1333" s="1"/>
  <c r="H1248"/>
  <c r="N1248"/>
  <c r="M1248" s="1"/>
  <c r="H1233"/>
  <c r="N1233"/>
  <c r="M1233" s="1"/>
  <c r="H1350"/>
  <c r="N1350"/>
  <c r="M1350" s="1"/>
  <c r="H1332"/>
  <c r="N1332"/>
  <c r="M1332" s="1"/>
  <c r="H1216"/>
  <c r="N1216"/>
  <c r="M1216" s="1"/>
  <c r="U1196"/>
  <c r="X1196" s="1"/>
  <c r="AG1196" s="1"/>
  <c r="H1299"/>
  <c r="N1299"/>
  <c r="M1299" s="1"/>
  <c r="H1193"/>
  <c r="N1193"/>
  <c r="M1193" s="1"/>
  <c r="H1310"/>
  <c r="N1310"/>
  <c r="M1310" s="1"/>
  <c r="H1345"/>
  <c r="N1345"/>
  <c r="M1345" s="1"/>
  <c r="H1211"/>
  <c r="N1211"/>
  <c r="M1211" s="1"/>
  <c r="H1328"/>
  <c r="N1328"/>
  <c r="M1328" s="1"/>
  <c r="H1192"/>
  <c r="N1192"/>
  <c r="M1192" s="1"/>
  <c r="H1338"/>
  <c r="N1338"/>
  <c r="M1338" s="1"/>
  <c r="C209" i="14"/>
  <c r="C216" s="1"/>
  <c r="F210"/>
  <c r="R44" i="39" s="1"/>
  <c r="D208" i="14"/>
  <c r="D209" s="1"/>
  <c r="D216" s="1"/>
  <c r="AX52" i="12"/>
  <c r="AW52"/>
  <c r="AS52"/>
  <c r="AP52"/>
  <c r="AM52"/>
  <c r="AX51"/>
  <c r="AW51"/>
  <c r="AS51"/>
  <c r="AP51"/>
  <c r="AM51"/>
  <c r="AX50"/>
  <c r="AW50"/>
  <c r="AV50" s="1"/>
  <c r="AS50"/>
  <c r="AP50"/>
  <c r="AM50"/>
  <c r="AU49"/>
  <c r="AT49"/>
  <c r="AS49" s="1"/>
  <c r="AR49"/>
  <c r="AQ49"/>
  <c r="AO49"/>
  <c r="AN49"/>
  <c r="AM49" s="1"/>
  <c r="AX48"/>
  <c r="AW48"/>
  <c r="AS48"/>
  <c r="AP48"/>
  <c r="AM48"/>
  <c r="AX47"/>
  <c r="AW47"/>
  <c r="AS47"/>
  <c r="AP47"/>
  <c r="AM47"/>
  <c r="AX46"/>
  <c r="AW46"/>
  <c r="AV46" s="1"/>
  <c r="AS46"/>
  <c r="AP46"/>
  <c r="AM46"/>
  <c r="AW45"/>
  <c r="AU45"/>
  <c r="AT45"/>
  <c r="AR45"/>
  <c r="AQ45"/>
  <c r="AP45" s="1"/>
  <c r="AO45"/>
  <c r="AN45"/>
  <c r="AX44"/>
  <c r="AW44"/>
  <c r="AV44" s="1"/>
  <c r="AS44"/>
  <c r="AP44"/>
  <c r="AM44"/>
  <c r="AX43"/>
  <c r="AW43"/>
  <c r="AS43"/>
  <c r="AP43"/>
  <c r="AM43"/>
  <c r="AX42"/>
  <c r="AV42" s="1"/>
  <c r="AW42"/>
  <c r="AS42"/>
  <c r="AP42"/>
  <c r="AM42"/>
  <c r="AU41"/>
  <c r="AT41"/>
  <c r="AS41" s="1"/>
  <c r="AR41"/>
  <c r="AQ41"/>
  <c r="AO41"/>
  <c r="AN41"/>
  <c r="AM41" s="1"/>
  <c r="AX40"/>
  <c r="AW40"/>
  <c r="AS40"/>
  <c r="AP40"/>
  <c r="AM40"/>
  <c r="AX39"/>
  <c r="AW39"/>
  <c r="AS39"/>
  <c r="AP39"/>
  <c r="AM39"/>
  <c r="AX38"/>
  <c r="AW38"/>
  <c r="AS38"/>
  <c r="AP38"/>
  <c r="AM38"/>
  <c r="AU37"/>
  <c r="AT37"/>
  <c r="AS37" s="1"/>
  <c r="AR37"/>
  <c r="AQ37"/>
  <c r="AO37"/>
  <c r="AN37"/>
  <c r="AX36"/>
  <c r="AW36"/>
  <c r="AS36"/>
  <c r="AP36"/>
  <c r="AM36"/>
  <c r="AX35"/>
  <c r="AW35"/>
  <c r="AS35"/>
  <c r="AP35"/>
  <c r="AM35"/>
  <c r="AX34"/>
  <c r="AW34"/>
  <c r="AW33" s="1"/>
  <c r="AS34"/>
  <c r="AP34"/>
  <c r="AM34"/>
  <c r="AU33"/>
  <c r="AT33"/>
  <c r="AR33"/>
  <c r="AQ33"/>
  <c r="AO33"/>
  <c r="AN33"/>
  <c r="AX32"/>
  <c r="AW32"/>
  <c r="AS32"/>
  <c r="AP32"/>
  <c r="AM32"/>
  <c r="AX31"/>
  <c r="AW31"/>
  <c r="AS31"/>
  <c r="AP31"/>
  <c r="AM31"/>
  <c r="AX30"/>
  <c r="AV30" s="1"/>
  <c r="AW30"/>
  <c r="AS30"/>
  <c r="AP30"/>
  <c r="AM30"/>
  <c r="AW29"/>
  <c r="AU29"/>
  <c r="AT29"/>
  <c r="AR29"/>
  <c r="AQ29"/>
  <c r="AP29" s="1"/>
  <c r="AO29"/>
  <c r="AN29"/>
  <c r="AX28"/>
  <c r="AW28"/>
  <c r="AV28" s="1"/>
  <c r="AS28"/>
  <c r="AP28"/>
  <c r="AM28"/>
  <c r="AX27"/>
  <c r="AX25" s="1"/>
  <c r="AW27"/>
  <c r="AS27"/>
  <c r="AP27"/>
  <c r="AM27"/>
  <c r="AX26"/>
  <c r="AW26"/>
  <c r="AV26" s="1"/>
  <c r="AS26"/>
  <c r="AP26"/>
  <c r="AM26"/>
  <c r="AU25"/>
  <c r="AT25"/>
  <c r="AR25"/>
  <c r="AQ25"/>
  <c r="AP25" s="1"/>
  <c r="AO25"/>
  <c r="AN25"/>
  <c r="AM25" s="1"/>
  <c r="AX24"/>
  <c r="AW24"/>
  <c r="AV24" s="1"/>
  <c r="AS24"/>
  <c r="AP24"/>
  <c r="AM24"/>
  <c r="AX23"/>
  <c r="AW23"/>
  <c r="AS23"/>
  <c r="AP23"/>
  <c r="AM23"/>
  <c r="AX22"/>
  <c r="AW22"/>
  <c r="AW21" s="1"/>
  <c r="AS22"/>
  <c r="AP22"/>
  <c r="AM22"/>
  <c r="AU21"/>
  <c r="AT21"/>
  <c r="AR21"/>
  <c r="AQ21"/>
  <c r="AO21"/>
  <c r="AN21"/>
  <c r="AX20"/>
  <c r="AW20"/>
  <c r="H100" i="39" s="1"/>
  <c r="AS20" i="12"/>
  <c r="AP20"/>
  <c r="AM20"/>
  <c r="AX19"/>
  <c r="J102" i="39" s="1"/>
  <c r="AW19" i="12"/>
  <c r="AS19"/>
  <c r="AP19"/>
  <c r="AM19"/>
  <c r="AX18"/>
  <c r="AS18"/>
  <c r="AM18"/>
  <c r="AU17"/>
  <c r="AT17"/>
  <c r="AS17" s="1"/>
  <c r="AR17"/>
  <c r="AO17"/>
  <c r="AN17"/>
  <c r="AM17" s="1"/>
  <c r="AS16"/>
  <c r="AM16"/>
  <c r="AX15"/>
  <c r="AS15"/>
  <c r="AM15"/>
  <c r="AX14"/>
  <c r="AS14"/>
  <c r="AM14"/>
  <c r="AU13"/>
  <c r="AT13"/>
  <c r="AO13"/>
  <c r="AN13"/>
  <c r="AL52"/>
  <c r="AK52"/>
  <c r="AG52"/>
  <c r="AD52"/>
  <c r="AA52"/>
  <c r="AL51"/>
  <c r="AK51"/>
  <c r="AG51"/>
  <c r="AD51"/>
  <c r="AA51"/>
  <c r="AL50"/>
  <c r="AK50"/>
  <c r="AG50"/>
  <c r="AD50"/>
  <c r="AA50"/>
  <c r="AI49"/>
  <c r="AH49"/>
  <c r="AF49"/>
  <c r="AE49"/>
  <c r="AC49"/>
  <c r="AB49"/>
  <c r="AL48"/>
  <c r="AK48"/>
  <c r="AG48"/>
  <c r="AD48"/>
  <c r="AA48"/>
  <c r="AL47"/>
  <c r="AK47"/>
  <c r="AG47"/>
  <c r="AD47"/>
  <c r="AA47"/>
  <c r="AL46"/>
  <c r="AL45" s="1"/>
  <c r="AK46"/>
  <c r="AG46"/>
  <c r="AD46"/>
  <c r="AA46"/>
  <c r="AI45"/>
  <c r="AH45"/>
  <c r="AF45"/>
  <c r="AE45"/>
  <c r="AC45"/>
  <c r="AB45"/>
  <c r="AA45" s="1"/>
  <c r="AL44"/>
  <c r="AK44"/>
  <c r="AG44"/>
  <c r="AD44"/>
  <c r="AA44"/>
  <c r="AL43"/>
  <c r="AL41" s="1"/>
  <c r="AK43"/>
  <c r="AG43"/>
  <c r="AD43"/>
  <c r="AA43"/>
  <c r="AL42"/>
  <c r="AK42"/>
  <c r="AJ42" s="1"/>
  <c r="AG42"/>
  <c r="AD42"/>
  <c r="AA42"/>
  <c r="AI41"/>
  <c r="AH41"/>
  <c r="AF41"/>
  <c r="AE41"/>
  <c r="AC41"/>
  <c r="AB41"/>
  <c r="AL40"/>
  <c r="AK40"/>
  <c r="AJ40" s="1"/>
  <c r="AG40"/>
  <c r="AD40"/>
  <c r="AA40"/>
  <c r="AL39"/>
  <c r="AK39"/>
  <c r="AG39"/>
  <c r="AD39"/>
  <c r="AA39"/>
  <c r="AL38"/>
  <c r="AK38"/>
  <c r="AG38"/>
  <c r="AD38"/>
  <c r="AA38"/>
  <c r="AI37"/>
  <c r="AH37"/>
  <c r="AF37"/>
  <c r="AE37"/>
  <c r="AC37"/>
  <c r="AB37"/>
  <c r="AL36"/>
  <c r="AK36"/>
  <c r="AG36"/>
  <c r="AD36"/>
  <c r="AA36"/>
  <c r="AL35"/>
  <c r="AK35"/>
  <c r="AJ35" s="1"/>
  <c r="AG35"/>
  <c r="AD35"/>
  <c r="AA35"/>
  <c r="AL34"/>
  <c r="AK34"/>
  <c r="AG34"/>
  <c r="AD34"/>
  <c r="AA34"/>
  <c r="AI33"/>
  <c r="AH33"/>
  <c r="AF33"/>
  <c r="AE33"/>
  <c r="AC33"/>
  <c r="AB33"/>
  <c r="AL32"/>
  <c r="AK32"/>
  <c r="AJ32" s="1"/>
  <c r="AG32"/>
  <c r="AD32"/>
  <c r="AA32"/>
  <c r="AL31"/>
  <c r="AK31"/>
  <c r="AG31"/>
  <c r="AD31"/>
  <c r="AA31"/>
  <c r="AL30"/>
  <c r="AK30"/>
  <c r="AG30"/>
  <c r="AD30"/>
  <c r="AA30"/>
  <c r="AI29"/>
  <c r="AH29"/>
  <c r="AF29"/>
  <c r="AE29"/>
  <c r="AC29"/>
  <c r="AB29"/>
  <c r="AL28"/>
  <c r="AK28"/>
  <c r="AG28"/>
  <c r="AD28"/>
  <c r="AA28"/>
  <c r="AL27"/>
  <c r="AK27"/>
  <c r="AG27"/>
  <c r="AD27"/>
  <c r="AA27"/>
  <c r="AL26"/>
  <c r="AK26"/>
  <c r="AG26"/>
  <c r="AD26"/>
  <c r="AA26"/>
  <c r="AI25"/>
  <c r="AH25"/>
  <c r="AF25"/>
  <c r="AE25"/>
  <c r="AC25"/>
  <c r="AB25"/>
  <c r="AL24"/>
  <c r="AK24"/>
  <c r="AG24"/>
  <c r="AD24"/>
  <c r="AA24"/>
  <c r="AL23"/>
  <c r="AK23"/>
  <c r="AG23"/>
  <c r="AD23"/>
  <c r="AA23"/>
  <c r="AL22"/>
  <c r="AK22"/>
  <c r="AG22"/>
  <c r="AD22"/>
  <c r="AA22"/>
  <c r="AI21"/>
  <c r="AH21"/>
  <c r="AF21"/>
  <c r="AE21"/>
  <c r="AC21"/>
  <c r="AB21"/>
  <c r="AL20"/>
  <c r="AK20"/>
  <c r="D100" i="39" s="1"/>
  <c r="AG20" i="12"/>
  <c r="AD20"/>
  <c r="AA20"/>
  <c r="AL19"/>
  <c r="F102" i="39" s="1"/>
  <c r="AK19" i="12"/>
  <c r="D102" i="39" s="1"/>
  <c r="AG19" i="12"/>
  <c r="AD19"/>
  <c r="AA19"/>
  <c r="AL18"/>
  <c r="AG18"/>
  <c r="AA18"/>
  <c r="AI17"/>
  <c r="AH17"/>
  <c r="AF17"/>
  <c r="AC17"/>
  <c r="AB17"/>
  <c r="AL16"/>
  <c r="AK16"/>
  <c r="AG16"/>
  <c r="AD16"/>
  <c r="AA16"/>
  <c r="AL15"/>
  <c r="AK15"/>
  <c r="AG15"/>
  <c r="AD15"/>
  <c r="AA15"/>
  <c r="AL14"/>
  <c r="AK14"/>
  <c r="AG14"/>
  <c r="AD14"/>
  <c r="AA14"/>
  <c r="AI13"/>
  <c r="AH13"/>
  <c r="AF13"/>
  <c r="AE13"/>
  <c r="AC13"/>
  <c r="AB13"/>
  <c r="Z52"/>
  <c r="Y52"/>
  <c r="U52"/>
  <c r="R52"/>
  <c r="O52"/>
  <c r="Z51"/>
  <c r="Y51"/>
  <c r="U51"/>
  <c r="R51"/>
  <c r="O51"/>
  <c r="Z50"/>
  <c r="Y50"/>
  <c r="U50"/>
  <c r="R50"/>
  <c r="O50"/>
  <c r="W49"/>
  <c r="V49"/>
  <c r="T49"/>
  <c r="S49"/>
  <c r="Q49"/>
  <c r="P49"/>
  <c r="Z48"/>
  <c r="Y48"/>
  <c r="U48"/>
  <c r="R48"/>
  <c r="O48"/>
  <c r="Z47"/>
  <c r="Y47"/>
  <c r="U47"/>
  <c r="R47"/>
  <c r="O47"/>
  <c r="Z46"/>
  <c r="Y46"/>
  <c r="U46"/>
  <c r="R46"/>
  <c r="O46"/>
  <c r="W45"/>
  <c r="V45"/>
  <c r="T45"/>
  <c r="S45"/>
  <c r="Q45"/>
  <c r="P45"/>
  <c r="Z44"/>
  <c r="Y44"/>
  <c r="U44"/>
  <c r="R44"/>
  <c r="O44"/>
  <c r="Z43"/>
  <c r="Y43"/>
  <c r="U43"/>
  <c r="R43"/>
  <c r="O43"/>
  <c r="Z42"/>
  <c r="Y42"/>
  <c r="U42"/>
  <c r="R42"/>
  <c r="O42"/>
  <c r="W41"/>
  <c r="V41"/>
  <c r="T41"/>
  <c r="S41"/>
  <c r="Q41"/>
  <c r="P41"/>
  <c r="Z40"/>
  <c r="Y40"/>
  <c r="U40"/>
  <c r="R40"/>
  <c r="O40"/>
  <c r="Z39"/>
  <c r="Y39"/>
  <c r="U39"/>
  <c r="R39"/>
  <c r="O39"/>
  <c r="Z38"/>
  <c r="Y38"/>
  <c r="U38"/>
  <c r="R38"/>
  <c r="O38"/>
  <c r="W37"/>
  <c r="V37"/>
  <c r="T37"/>
  <c r="S37"/>
  <c r="Q37"/>
  <c r="P37"/>
  <c r="Z36"/>
  <c r="Y36"/>
  <c r="U36"/>
  <c r="R36"/>
  <c r="O36"/>
  <c r="Z35"/>
  <c r="Y35"/>
  <c r="U35"/>
  <c r="R35"/>
  <c r="O35"/>
  <c r="Z34"/>
  <c r="Y34"/>
  <c r="U34"/>
  <c r="R34"/>
  <c r="O34"/>
  <c r="W33"/>
  <c r="V33"/>
  <c r="T33"/>
  <c r="S33"/>
  <c r="Q33"/>
  <c r="P33"/>
  <c r="Z32"/>
  <c r="Y32"/>
  <c r="U32"/>
  <c r="R32"/>
  <c r="O32"/>
  <c r="Z31"/>
  <c r="Y31"/>
  <c r="U31"/>
  <c r="R31"/>
  <c r="O31"/>
  <c r="Z30"/>
  <c r="Y30"/>
  <c r="U30"/>
  <c r="R30"/>
  <c r="O30"/>
  <c r="W29"/>
  <c r="V29"/>
  <c r="T29"/>
  <c r="S29"/>
  <c r="Q29"/>
  <c r="P29"/>
  <c r="Z28"/>
  <c r="Y28"/>
  <c r="U28"/>
  <c r="R28"/>
  <c r="O28"/>
  <c r="Z27"/>
  <c r="Y27"/>
  <c r="U27"/>
  <c r="R27"/>
  <c r="O27"/>
  <c r="Z26"/>
  <c r="Y26"/>
  <c r="U26"/>
  <c r="R26"/>
  <c r="O26"/>
  <c r="W25"/>
  <c r="V25"/>
  <c r="T25"/>
  <c r="S25"/>
  <c r="Q25"/>
  <c r="P25"/>
  <c r="Z24"/>
  <c r="Y24"/>
  <c r="U24"/>
  <c r="R24"/>
  <c r="O24"/>
  <c r="Z23"/>
  <c r="Y23"/>
  <c r="U23"/>
  <c r="R23"/>
  <c r="O23"/>
  <c r="Z22"/>
  <c r="Z21" s="1"/>
  <c r="Y22"/>
  <c r="U22"/>
  <c r="R22"/>
  <c r="O22"/>
  <c r="W21"/>
  <c r="V21"/>
  <c r="T21"/>
  <c r="S21"/>
  <c r="Q21"/>
  <c r="P21"/>
  <c r="Z20"/>
  <c r="Y20"/>
  <c r="U20"/>
  <c r="R20"/>
  <c r="O20"/>
  <c r="Z19"/>
  <c r="Y19"/>
  <c r="U19"/>
  <c r="R19"/>
  <c r="O19"/>
  <c r="Z18"/>
  <c r="Y18"/>
  <c r="U18"/>
  <c r="R18"/>
  <c r="O18"/>
  <c r="W17"/>
  <c r="V17"/>
  <c r="T17"/>
  <c r="S17"/>
  <c r="Q17"/>
  <c r="P17"/>
  <c r="Z16"/>
  <c r="Y16"/>
  <c r="U16"/>
  <c r="R16"/>
  <c r="O16"/>
  <c r="Z15"/>
  <c r="Y15"/>
  <c r="U15"/>
  <c r="R15"/>
  <c r="O15"/>
  <c r="Z14"/>
  <c r="Y14"/>
  <c r="U14"/>
  <c r="R14"/>
  <c r="O14"/>
  <c r="W13"/>
  <c r="V13"/>
  <c r="T13"/>
  <c r="S13"/>
  <c r="Q13"/>
  <c r="P13"/>
  <c r="N52"/>
  <c r="M52"/>
  <c r="I52"/>
  <c r="F52"/>
  <c r="C52"/>
  <c r="N51"/>
  <c r="M51"/>
  <c r="I51"/>
  <c r="F51"/>
  <c r="C51"/>
  <c r="N50"/>
  <c r="M50"/>
  <c r="I50"/>
  <c r="F50"/>
  <c r="C50"/>
  <c r="K49"/>
  <c r="J49"/>
  <c r="H49"/>
  <c r="G49"/>
  <c r="E49"/>
  <c r="D49"/>
  <c r="N48"/>
  <c r="M48"/>
  <c r="I48"/>
  <c r="F48"/>
  <c r="C48"/>
  <c r="N47"/>
  <c r="M47"/>
  <c r="I47"/>
  <c r="F47"/>
  <c r="C47"/>
  <c r="N46"/>
  <c r="N45" s="1"/>
  <c r="M46"/>
  <c r="I46"/>
  <c r="F46"/>
  <c r="C46"/>
  <c r="K45"/>
  <c r="J45"/>
  <c r="H45"/>
  <c r="G45"/>
  <c r="E45"/>
  <c r="D45"/>
  <c r="N44"/>
  <c r="M44"/>
  <c r="I44"/>
  <c r="F44"/>
  <c r="C44"/>
  <c r="N43"/>
  <c r="M43"/>
  <c r="I43"/>
  <c r="F43"/>
  <c r="C43"/>
  <c r="N42"/>
  <c r="M42"/>
  <c r="I42"/>
  <c r="F42"/>
  <c r="C42"/>
  <c r="K41"/>
  <c r="J41"/>
  <c r="H41"/>
  <c r="G41"/>
  <c r="E41"/>
  <c r="D41"/>
  <c r="N40"/>
  <c r="M40"/>
  <c r="I40"/>
  <c r="F40"/>
  <c r="C40"/>
  <c r="N39"/>
  <c r="M39"/>
  <c r="I39"/>
  <c r="F39"/>
  <c r="C39"/>
  <c r="N38"/>
  <c r="M38"/>
  <c r="I38"/>
  <c r="F38"/>
  <c r="C38"/>
  <c r="K37"/>
  <c r="J37"/>
  <c r="H37"/>
  <c r="G37"/>
  <c r="E37"/>
  <c r="D37"/>
  <c r="N36"/>
  <c r="M36"/>
  <c r="I36"/>
  <c r="F36"/>
  <c r="C36"/>
  <c r="N35"/>
  <c r="M35"/>
  <c r="I35"/>
  <c r="F35"/>
  <c r="C35"/>
  <c r="N34"/>
  <c r="M34"/>
  <c r="L34" s="1"/>
  <c r="I34"/>
  <c r="F34"/>
  <c r="C34"/>
  <c r="N33"/>
  <c r="K33"/>
  <c r="J33"/>
  <c r="H33"/>
  <c r="G33"/>
  <c r="E33"/>
  <c r="D33"/>
  <c r="N32"/>
  <c r="M32"/>
  <c r="I32"/>
  <c r="F32"/>
  <c r="C32"/>
  <c r="N31"/>
  <c r="M31"/>
  <c r="I31"/>
  <c r="F31"/>
  <c r="C31"/>
  <c r="N30"/>
  <c r="M30"/>
  <c r="I30"/>
  <c r="F30"/>
  <c r="C30"/>
  <c r="K29"/>
  <c r="J29"/>
  <c r="H29"/>
  <c r="G29"/>
  <c r="E29"/>
  <c r="D29"/>
  <c r="N28"/>
  <c r="M28"/>
  <c r="I28"/>
  <c r="F28"/>
  <c r="C28"/>
  <c r="N27"/>
  <c r="M27"/>
  <c r="I27"/>
  <c r="F27"/>
  <c r="C27"/>
  <c r="N26"/>
  <c r="M26"/>
  <c r="I26"/>
  <c r="F26"/>
  <c r="C26"/>
  <c r="K25"/>
  <c r="J25"/>
  <c r="I25" s="1"/>
  <c r="H25"/>
  <c r="G25"/>
  <c r="E25"/>
  <c r="D25"/>
  <c r="N24"/>
  <c r="M24"/>
  <c r="I24"/>
  <c r="F24"/>
  <c r="C24"/>
  <c r="N23"/>
  <c r="M23"/>
  <c r="I23"/>
  <c r="F23"/>
  <c r="C23"/>
  <c r="N22"/>
  <c r="M22"/>
  <c r="M21" s="1"/>
  <c r="I22"/>
  <c r="F22"/>
  <c r="C22"/>
  <c r="K21"/>
  <c r="J21"/>
  <c r="H21"/>
  <c r="G21"/>
  <c r="E21"/>
  <c r="D21"/>
  <c r="N20"/>
  <c r="M20"/>
  <c r="I20"/>
  <c r="F20"/>
  <c r="C20"/>
  <c r="N19"/>
  <c r="M19"/>
  <c r="I19"/>
  <c r="F19"/>
  <c r="C19"/>
  <c r="N18"/>
  <c r="N17" s="1"/>
  <c r="M18"/>
  <c r="I18"/>
  <c r="F18"/>
  <c r="C18"/>
  <c r="K17"/>
  <c r="J17"/>
  <c r="H17"/>
  <c r="G17"/>
  <c r="E17"/>
  <c r="D17"/>
  <c r="N16"/>
  <c r="M16"/>
  <c r="I16"/>
  <c r="F16"/>
  <c r="C16"/>
  <c r="N15"/>
  <c r="M15"/>
  <c r="I15"/>
  <c r="F15"/>
  <c r="C15"/>
  <c r="N14"/>
  <c r="M14"/>
  <c r="I14"/>
  <c r="F14"/>
  <c r="C14"/>
  <c r="K13"/>
  <c r="J13"/>
  <c r="H13"/>
  <c r="G13"/>
  <c r="E13"/>
  <c r="D13"/>
  <c r="U1190" i="7" l="1"/>
  <c r="X1190" s="1"/>
  <c r="AG1190" s="1"/>
  <c r="U1195"/>
  <c r="X1195" s="1"/>
  <c r="AG1195" s="1"/>
  <c r="G102" i="39"/>
  <c r="H102"/>
  <c r="J105"/>
  <c r="J116" s="1"/>
  <c r="J118" s="1"/>
  <c r="J129" s="1"/>
  <c r="J133" s="1"/>
  <c r="J100"/>
  <c r="F105"/>
  <c r="F116" s="1"/>
  <c r="F118" s="1"/>
  <c r="F129" s="1"/>
  <c r="F133" s="1"/>
  <c r="F100"/>
  <c r="S1352" i="7"/>
  <c r="V33" i="39" s="1"/>
  <c r="R1311" i="7"/>
  <c r="R1271"/>
  <c r="R1351"/>
  <c r="U1193"/>
  <c r="X1193" s="1"/>
  <c r="AG1193" s="1"/>
  <c r="H1352"/>
  <c r="R1229"/>
  <c r="M1352"/>
  <c r="U1194"/>
  <c r="X1194" s="1"/>
  <c r="AG1194" s="1"/>
  <c r="N1352"/>
  <c r="AS13" i="12"/>
  <c r="C102" i="39"/>
  <c r="C100"/>
  <c r="D105"/>
  <c r="X50" i="12"/>
  <c r="AV23"/>
  <c r="AV32"/>
  <c r="G100" i="39"/>
  <c r="H105"/>
  <c r="Z49" i="12"/>
  <c r="AL25"/>
  <c r="AG45"/>
  <c r="AX17"/>
  <c r="Z33"/>
  <c r="R49"/>
  <c r="I45"/>
  <c r="AJ20"/>
  <c r="AD21"/>
  <c r="AL21"/>
  <c r="Y25"/>
  <c r="X25" s="1"/>
  <c r="AP33"/>
  <c r="AX33"/>
  <c r="AM37"/>
  <c r="N41"/>
  <c r="X30"/>
  <c r="X44"/>
  <c r="Z45"/>
  <c r="X47"/>
  <c r="AJ16"/>
  <c r="AK21"/>
  <c r="AJ21" s="1"/>
  <c r="AL29"/>
  <c r="AK33"/>
  <c r="AP21"/>
  <c r="AV31"/>
  <c r="I13"/>
  <c r="N21"/>
  <c r="N49"/>
  <c r="X23"/>
  <c r="X24"/>
  <c r="X26"/>
  <c r="U29"/>
  <c r="X36"/>
  <c r="X39"/>
  <c r="AJ23"/>
  <c r="AJ24"/>
  <c r="AJ26"/>
  <c r="AG29"/>
  <c r="AJ48"/>
  <c r="AV27"/>
  <c r="AV51"/>
  <c r="C37"/>
  <c r="AV35"/>
  <c r="X32"/>
  <c r="I37"/>
  <c r="L51"/>
  <c r="X14"/>
  <c r="O17"/>
  <c r="U17"/>
  <c r="X35"/>
  <c r="X38"/>
  <c r="AL17"/>
  <c r="AA33"/>
  <c r="AK37"/>
  <c r="AV43"/>
  <c r="AX49"/>
  <c r="F17"/>
  <c r="C21"/>
  <c r="I21"/>
  <c r="N29"/>
  <c r="L40"/>
  <c r="F41"/>
  <c r="L42"/>
  <c r="C45"/>
  <c r="M49"/>
  <c r="L49" s="1"/>
  <c r="X20"/>
  <c r="Y21"/>
  <c r="X21" s="1"/>
  <c r="Z25"/>
  <c r="X31"/>
  <c r="R45"/>
  <c r="O49"/>
  <c r="AL13"/>
  <c r="AX45"/>
  <c r="AV45" s="1"/>
  <c r="L16"/>
  <c r="L18"/>
  <c r="N13"/>
  <c r="N25"/>
  <c r="M37"/>
  <c r="L46"/>
  <c r="C49"/>
  <c r="I49"/>
  <c r="Z13"/>
  <c r="Z17"/>
  <c r="Z41"/>
  <c r="X43"/>
  <c r="Y45"/>
  <c r="AL33"/>
  <c r="AG37"/>
  <c r="AX41"/>
  <c r="AV33"/>
  <c r="L26"/>
  <c r="I29"/>
  <c r="M45"/>
  <c r="X18"/>
  <c r="U21"/>
  <c r="R29"/>
  <c r="O37"/>
  <c r="Y49"/>
  <c r="AK25"/>
  <c r="AJ25" s="1"/>
  <c r="AM13"/>
  <c r="AS21"/>
  <c r="AV22"/>
  <c r="AS25"/>
  <c r="AV40"/>
  <c r="AW41"/>
  <c r="AV48"/>
  <c r="AP49"/>
  <c r="AV52"/>
  <c r="Y29"/>
  <c r="C25"/>
  <c r="L31"/>
  <c r="X16"/>
  <c r="O21"/>
  <c r="X22"/>
  <c r="X28"/>
  <c r="X34"/>
  <c r="U41"/>
  <c r="AJ50"/>
  <c r="AM21"/>
  <c r="AX21"/>
  <c r="AV21" s="1"/>
  <c r="AS33"/>
  <c r="AP41"/>
  <c r="L14"/>
  <c r="I17"/>
  <c r="F21"/>
  <c r="M25"/>
  <c r="L30"/>
  <c r="I33"/>
  <c r="L36"/>
  <c r="F37"/>
  <c r="L38"/>
  <c r="C41"/>
  <c r="I41"/>
  <c r="L44"/>
  <c r="F45"/>
  <c r="L48"/>
  <c r="X27"/>
  <c r="Y33"/>
  <c r="X33" s="1"/>
  <c r="U45"/>
  <c r="X46"/>
  <c r="X48"/>
  <c r="X52"/>
  <c r="AJ14"/>
  <c r="AG17"/>
  <c r="AG21"/>
  <c r="AJ22"/>
  <c r="AJ28"/>
  <c r="AD29"/>
  <c r="AJ30"/>
  <c r="AJ34"/>
  <c r="AJ36"/>
  <c r="AJ38"/>
  <c r="AG41"/>
  <c r="AJ44"/>
  <c r="AD45"/>
  <c r="AJ46"/>
  <c r="AA49"/>
  <c r="AW25"/>
  <c r="AV25" s="1"/>
  <c r="AS29"/>
  <c r="AV34"/>
  <c r="AV36"/>
  <c r="AP37"/>
  <c r="AV39"/>
  <c r="AS45"/>
  <c r="AV47"/>
  <c r="C29"/>
  <c r="U37"/>
  <c r="C17"/>
  <c r="L24"/>
  <c r="F25"/>
  <c r="L28"/>
  <c r="F29"/>
  <c r="M29"/>
  <c r="L29" s="1"/>
  <c r="N37"/>
  <c r="R21"/>
  <c r="Z29"/>
  <c r="R37"/>
  <c r="Y37"/>
  <c r="X40"/>
  <c r="R41"/>
  <c r="X42"/>
  <c r="X51"/>
  <c r="AJ27"/>
  <c r="AL37"/>
  <c r="AX29"/>
  <c r="AV29" s="1"/>
  <c r="AX37"/>
  <c r="AV38"/>
  <c r="AW49"/>
  <c r="AV49" s="1"/>
  <c r="AJ51"/>
  <c r="AK49"/>
  <c r="AK45"/>
  <c r="AJ45" s="1"/>
  <c r="AD41"/>
  <c r="AK41"/>
  <c r="AJ41" s="1"/>
  <c r="AK29"/>
  <c r="AJ31"/>
  <c r="AJ19"/>
  <c r="AK13"/>
  <c r="AJ13" s="1"/>
  <c r="R17"/>
  <c r="Y17"/>
  <c r="X19"/>
  <c r="L20"/>
  <c r="L32"/>
  <c r="C33"/>
  <c r="F33"/>
  <c r="L35"/>
  <c r="L39"/>
  <c r="L43"/>
  <c r="R25"/>
  <c r="U25"/>
  <c r="R33"/>
  <c r="U33"/>
  <c r="AD25"/>
  <c r="AG25"/>
  <c r="AD33"/>
  <c r="AG33"/>
  <c r="AJ33"/>
  <c r="AJ43"/>
  <c r="AJ47"/>
  <c r="AL49"/>
  <c r="L21"/>
  <c r="L23"/>
  <c r="L27"/>
  <c r="F49"/>
  <c r="L50"/>
  <c r="R13"/>
  <c r="U13"/>
  <c r="Y13"/>
  <c r="AD13"/>
  <c r="AG13"/>
  <c r="AJ15"/>
  <c r="AM29"/>
  <c r="AM33"/>
  <c r="AM45"/>
  <c r="M17"/>
  <c r="L17" s="1"/>
  <c r="Y41"/>
  <c r="X41" s="1"/>
  <c r="AJ39"/>
  <c r="AD37"/>
  <c r="X15"/>
  <c r="C13"/>
  <c r="F13"/>
  <c r="L15"/>
  <c r="AW37"/>
  <c r="AV19"/>
  <c r="AV20"/>
  <c r="M41"/>
  <c r="L41" s="1"/>
  <c r="M33"/>
  <c r="L33" s="1"/>
  <c r="L19"/>
  <c r="M13"/>
  <c r="L13" s="1"/>
  <c r="AD49"/>
  <c r="AG49"/>
  <c r="AJ52"/>
  <c r="L22"/>
  <c r="L45"/>
  <c r="L47"/>
  <c r="AA37"/>
  <c r="AA41"/>
  <c r="O13"/>
  <c r="O25"/>
  <c r="O29"/>
  <c r="O33"/>
  <c r="Z37"/>
  <c r="X37" s="1"/>
  <c r="O41"/>
  <c r="O45"/>
  <c r="AA13"/>
  <c r="AA17"/>
  <c r="AA21"/>
  <c r="AA25"/>
  <c r="AA29"/>
  <c r="L52"/>
  <c r="U49"/>
  <c r="D89" i="4"/>
  <c r="E89"/>
  <c r="F89"/>
  <c r="G89"/>
  <c r="L89" s="1"/>
  <c r="J27" i="15"/>
  <c r="D27"/>
  <c r="D213" i="14"/>
  <c r="C213"/>
  <c r="N36" i="2"/>
  <c r="I36"/>
  <c r="D36"/>
  <c r="F35"/>
  <c r="F33"/>
  <c r="N28"/>
  <c r="I28"/>
  <c r="D28"/>
  <c r="D11" i="4" s="1"/>
  <c r="F27" i="2"/>
  <c r="F25"/>
  <c r="S50"/>
  <c r="K61" i="4" l="1"/>
  <c r="K62" s="1"/>
  <c r="F11"/>
  <c r="F15" s="1"/>
  <c r="AA28" i="2"/>
  <c r="J61" i="4"/>
  <c r="J62" s="1"/>
  <c r="E11"/>
  <c r="I61"/>
  <c r="I62" s="1"/>
  <c r="U1197" i="7"/>
  <c r="T33" i="39"/>
  <c r="V41"/>
  <c r="V116" s="1"/>
  <c r="V118" s="1"/>
  <c r="V129" s="1"/>
  <c r="V133" s="1"/>
  <c r="C105"/>
  <c r="D116"/>
  <c r="X49" i="12"/>
  <c r="G105" i="39"/>
  <c r="H116"/>
  <c r="F218" i="14"/>
  <c r="F219" s="1"/>
  <c r="R98" i="39"/>
  <c r="D98" i="4"/>
  <c r="D15"/>
  <c r="D16" s="1"/>
  <c r="AV37" i="12"/>
  <c r="AJ29"/>
  <c r="L25"/>
  <c r="X45"/>
  <c r="L37"/>
  <c r="AJ37"/>
  <c r="X17"/>
  <c r="AV41"/>
  <c r="X13"/>
  <c r="X29"/>
  <c r="AJ49"/>
  <c r="F36" i="2"/>
  <c r="D7" i="39" s="1"/>
  <c r="C7" s="1"/>
  <c r="K36" i="2"/>
  <c r="H7" i="39" s="1"/>
  <c r="U50" i="2"/>
  <c r="R11" i="39" s="1"/>
  <c r="I89" i="4"/>
  <c r="J89"/>
  <c r="K89"/>
  <c r="P36" i="2"/>
  <c r="L7" i="39" s="1"/>
  <c r="S36" i="2"/>
  <c r="P28"/>
  <c r="L6" i="39" s="1"/>
  <c r="AW14" i="12"/>
  <c r="AV14" s="1"/>
  <c r="AP14"/>
  <c r="AW15"/>
  <c r="AP15"/>
  <c r="K28" i="2"/>
  <c r="H6" i="39" s="1"/>
  <c r="F28" i="2"/>
  <c r="F16"/>
  <c r="I18" i="13" l="1"/>
  <c r="K6" i="39"/>
  <c r="L19"/>
  <c r="I17" i="13"/>
  <c r="G6" i="39"/>
  <c r="H19"/>
  <c r="J17" i="13"/>
  <c r="G7" i="39"/>
  <c r="L61" i="4"/>
  <c r="L62" s="1"/>
  <c r="AA36" i="2"/>
  <c r="AB36"/>
  <c r="F39"/>
  <c r="D6" i="39"/>
  <c r="J18" i="13"/>
  <c r="K7" i="39"/>
  <c r="O11"/>
  <c r="R19"/>
  <c r="R29" s="1"/>
  <c r="C14" i="13"/>
  <c r="S33" i="39"/>
  <c r="G116"/>
  <c r="C116"/>
  <c r="E98" i="4"/>
  <c r="E15"/>
  <c r="E16" s="1"/>
  <c r="H6" i="13"/>
  <c r="F12" i="4"/>
  <c r="F98"/>
  <c r="E12"/>
  <c r="G12"/>
  <c r="F16"/>
  <c r="K39" i="2"/>
  <c r="P39"/>
  <c r="F30"/>
  <c r="F38"/>
  <c r="P30"/>
  <c r="P38"/>
  <c r="K38"/>
  <c r="L28"/>
  <c r="B36"/>
  <c r="B28"/>
  <c r="G36"/>
  <c r="AV15" i="12"/>
  <c r="Q50" i="2"/>
  <c r="L36"/>
  <c r="K30"/>
  <c r="G28"/>
  <c r="D19" i="39" l="1"/>
  <c r="C6"/>
  <c r="H29"/>
  <c r="G19"/>
  <c r="K19"/>
  <c r="L29"/>
  <c r="K29" s="1"/>
  <c r="I13" i="13"/>
  <c r="E22" s="1"/>
  <c r="H13"/>
  <c r="AP118" i="35"/>
  <c r="D29" i="39" l="1"/>
  <c r="C19"/>
  <c r="G29"/>
  <c r="H118"/>
  <c r="AK107" i="35"/>
  <c r="AN107" s="1"/>
  <c r="BL107" s="1"/>
  <c r="BM107" s="1"/>
  <c r="AQ68"/>
  <c r="AQ63"/>
  <c r="AL94"/>
  <c r="AL86"/>
  <c r="AL75"/>
  <c r="AL68"/>
  <c r="AL63"/>
  <c r="AK76"/>
  <c r="AO68"/>
  <c r="AQ40"/>
  <c r="AM43"/>
  <c r="AM37"/>
  <c r="AM29"/>
  <c r="AM21"/>
  <c r="AM16"/>
  <c r="AM11"/>
  <c r="AM6"/>
  <c r="AM91"/>
  <c r="AM77"/>
  <c r="AM74"/>
  <c r="AM65"/>
  <c r="AK93"/>
  <c r="AN93" s="1"/>
  <c r="BL93" s="1"/>
  <c r="BM93" s="1"/>
  <c r="AK72"/>
  <c r="AN72" s="1"/>
  <c r="BL72" s="1"/>
  <c r="BM72" s="1"/>
  <c r="AP63"/>
  <c r="AO40"/>
  <c r="AL43"/>
  <c r="AL37"/>
  <c r="AL21"/>
  <c r="AL16"/>
  <c r="AL6"/>
  <c r="AM94"/>
  <c r="AM86"/>
  <c r="AM75"/>
  <c r="AM68"/>
  <c r="AM63"/>
  <c r="AK78"/>
  <c r="AN78" s="1"/>
  <c r="BL78" s="1"/>
  <c r="BM78" s="1"/>
  <c r="AK69"/>
  <c r="AP68"/>
  <c r="AP40"/>
  <c r="AL40"/>
  <c r="AL32"/>
  <c r="AL26"/>
  <c r="AL20"/>
  <c r="AL17"/>
  <c r="AL15"/>
  <c r="AL10"/>
  <c r="AL91"/>
  <c r="AL77"/>
  <c r="AL74"/>
  <c r="AL65"/>
  <c r="AK79"/>
  <c r="AN79" s="1"/>
  <c r="BL79" s="1"/>
  <c r="BM79" s="1"/>
  <c r="AK70"/>
  <c r="AN70" s="1"/>
  <c r="BL70" s="1"/>
  <c r="BM70" s="1"/>
  <c r="AO63"/>
  <c r="AM40"/>
  <c r="AM32"/>
  <c r="AM26"/>
  <c r="AM20"/>
  <c r="AM17"/>
  <c r="AM15"/>
  <c r="AM10"/>
  <c r="AL29"/>
  <c r="AL11"/>
  <c r="K17" i="13"/>
  <c r="K18"/>
  <c r="E17"/>
  <c r="E16"/>
  <c r="J13"/>
  <c r="D22"/>
  <c r="F22" s="1"/>
  <c r="D16"/>
  <c r="D17"/>
  <c r="C29" i="39" l="1"/>
  <c r="D118"/>
  <c r="H129"/>
  <c r="G118"/>
  <c r="AN76" i="35"/>
  <c r="BL76" s="1"/>
  <c r="BM76" s="1"/>
  <c r="AK61"/>
  <c r="AK109" s="1"/>
  <c r="AQ109"/>
  <c r="AP109"/>
  <c r="AN18"/>
  <c r="BL18" s="1"/>
  <c r="BM18" s="1"/>
  <c r="F16" i="13"/>
  <c r="F17"/>
  <c r="AN63" i="35"/>
  <c r="BL63" s="1"/>
  <c r="BM63" s="1"/>
  <c r="AN91"/>
  <c r="BL91" s="1"/>
  <c r="BM91" s="1"/>
  <c r="AO109"/>
  <c r="AN74"/>
  <c r="BL74" s="1"/>
  <c r="BM74" s="1"/>
  <c r="AN65"/>
  <c r="BL65" s="1"/>
  <c r="BM65" s="1"/>
  <c r="AN94"/>
  <c r="BL94" s="1"/>
  <c r="BM94" s="1"/>
  <c r="AN21"/>
  <c r="BL21" s="1"/>
  <c r="BM21" s="1"/>
  <c r="AN86"/>
  <c r="BL86" s="1"/>
  <c r="BM86" s="1"/>
  <c r="AN77"/>
  <c r="BL77" s="1"/>
  <c r="BM77" s="1"/>
  <c r="AN69"/>
  <c r="BL69" s="1"/>
  <c r="BM69" s="1"/>
  <c r="AN75"/>
  <c r="BL75" s="1"/>
  <c r="BM75" s="1"/>
  <c r="AN68"/>
  <c r="BL68" s="1"/>
  <c r="BM68" s="1"/>
  <c r="AN32"/>
  <c r="BL32" s="1"/>
  <c r="BM32" s="1"/>
  <c r="AN26"/>
  <c r="BL26" s="1"/>
  <c r="BM26" s="1"/>
  <c r="AN16"/>
  <c r="BL16" s="1"/>
  <c r="BM16" s="1"/>
  <c r="AN40"/>
  <c r="BL40" s="1"/>
  <c r="BM40" s="1"/>
  <c r="AN20"/>
  <c r="BL20" s="1"/>
  <c r="BM20" s="1"/>
  <c r="AN10"/>
  <c r="BL10" s="1"/>
  <c r="BM10" s="1"/>
  <c r="AN29"/>
  <c r="BL29" s="1"/>
  <c r="BM29" s="1"/>
  <c r="AN11"/>
  <c r="BL11" s="1"/>
  <c r="BM11" s="1"/>
  <c r="AM109"/>
  <c r="AN37"/>
  <c r="BL37" s="1"/>
  <c r="BM37" s="1"/>
  <c r="AN15"/>
  <c r="BL15" s="1"/>
  <c r="BM15" s="1"/>
  <c r="AN43"/>
  <c r="BL43" s="1"/>
  <c r="BM43" s="1"/>
  <c r="AN17"/>
  <c r="BL17" s="1"/>
  <c r="BM17" s="1"/>
  <c r="AN6"/>
  <c r="AL109"/>
  <c r="C118" i="39" l="1"/>
  <c r="D129"/>
  <c r="G129"/>
  <c r="H133"/>
  <c r="G133" s="1"/>
  <c r="G135" s="1"/>
  <c r="AN61" i="35"/>
  <c r="AN109" s="1"/>
  <c r="AN111" s="1"/>
  <c r="BL6"/>
  <c r="C129" i="39" l="1"/>
  <c r="D133"/>
  <c r="C133" s="1"/>
  <c r="C135" s="1"/>
  <c r="BL61" i="35"/>
  <c r="BM61" s="1"/>
  <c r="AP112"/>
  <c r="AP113"/>
  <c r="AN115"/>
  <c r="H97" i="4" s="1"/>
  <c r="BM6" i="35"/>
  <c r="BL109" l="1"/>
  <c r="BM109"/>
  <c r="T43" i="39" s="1"/>
  <c r="H99" i="4" s="1"/>
  <c r="H98"/>
  <c r="G100"/>
  <c r="O43" i="39"/>
  <c r="G98" i="4"/>
  <c r="BK109" i="35" l="1"/>
  <c r="BN110"/>
  <c r="E26" i="13" s="1"/>
  <c r="BM110" i="35"/>
  <c r="D26" i="13" s="1"/>
  <c r="C26"/>
  <c r="S43" i="39"/>
  <c r="H100" i="4"/>
  <c r="T98" i="39"/>
  <c r="F26" i="13" l="1"/>
  <c r="BO110" i="35"/>
  <c r="C22" i="13"/>
  <c r="S98" i="39"/>
  <c r="F148" i="14"/>
  <c r="F132"/>
  <c r="F136"/>
  <c r="F144"/>
  <c r="F56"/>
  <c r="F140" l="1"/>
  <c r="F128"/>
  <c r="F42"/>
  <c r="F46"/>
  <c r="BJ52" i="12"/>
  <c r="BI52"/>
  <c r="BE52"/>
  <c r="BB52"/>
  <c r="AY52"/>
  <c r="BJ51"/>
  <c r="BI51"/>
  <c r="BE51"/>
  <c r="BB51"/>
  <c r="AY51"/>
  <c r="BJ50"/>
  <c r="BI50"/>
  <c r="BE50"/>
  <c r="BB50"/>
  <c r="AY50"/>
  <c r="BG49"/>
  <c r="BF49"/>
  <c r="BD49"/>
  <c r="BC49"/>
  <c r="BA49"/>
  <c r="AZ49"/>
  <c r="BJ48"/>
  <c r="BI48"/>
  <c r="BE48"/>
  <c r="BB48"/>
  <c r="AY48"/>
  <c r="BJ47"/>
  <c r="BI47"/>
  <c r="BE47"/>
  <c r="BB47"/>
  <c r="AY47"/>
  <c r="BJ46"/>
  <c r="BI46"/>
  <c r="BE46"/>
  <c r="BB46"/>
  <c r="AY46"/>
  <c r="BG45"/>
  <c r="BF45"/>
  <c r="BD45"/>
  <c r="BC45"/>
  <c r="BA45"/>
  <c r="AZ45"/>
  <c r="BJ44"/>
  <c r="BI44"/>
  <c r="BE44"/>
  <c r="BB44"/>
  <c r="AY44"/>
  <c r="BJ43"/>
  <c r="BI43"/>
  <c r="BE43"/>
  <c r="BB43"/>
  <c r="AY43"/>
  <c r="BJ42"/>
  <c r="BJ41" s="1"/>
  <c r="BI42"/>
  <c r="BE42"/>
  <c r="BB42"/>
  <c r="AY42"/>
  <c r="BG41"/>
  <c r="BF41"/>
  <c r="BD41"/>
  <c r="BC41"/>
  <c r="BA41"/>
  <c r="AZ41"/>
  <c r="BJ40"/>
  <c r="BI40"/>
  <c r="BE40"/>
  <c r="BB40"/>
  <c r="AY40"/>
  <c r="BJ39"/>
  <c r="BI39"/>
  <c r="BE39"/>
  <c r="BB39"/>
  <c r="AY39"/>
  <c r="BJ38"/>
  <c r="BI38"/>
  <c r="BE38"/>
  <c r="BB38"/>
  <c r="AY38"/>
  <c r="BG37"/>
  <c r="BF37"/>
  <c r="BD37"/>
  <c r="BC37"/>
  <c r="BA37"/>
  <c r="AZ37"/>
  <c r="BJ36"/>
  <c r="BI36"/>
  <c r="BE36"/>
  <c r="BB36"/>
  <c r="AY36"/>
  <c r="BJ35"/>
  <c r="BJ33" s="1"/>
  <c r="BI35"/>
  <c r="BE35"/>
  <c r="BB35"/>
  <c r="AY35"/>
  <c r="BJ34"/>
  <c r="BI34"/>
  <c r="BH34" s="1"/>
  <c r="BE34"/>
  <c r="BB34"/>
  <c r="AY34"/>
  <c r="BG33"/>
  <c r="BF33"/>
  <c r="BD33"/>
  <c r="BC33"/>
  <c r="BA33"/>
  <c r="AZ33"/>
  <c r="BJ32"/>
  <c r="BI32"/>
  <c r="BE32"/>
  <c r="BB32"/>
  <c r="AY32"/>
  <c r="BJ31"/>
  <c r="BI31"/>
  <c r="BE31"/>
  <c r="BB31"/>
  <c r="AY31"/>
  <c r="BJ30"/>
  <c r="BH30" s="1"/>
  <c r="BI30"/>
  <c r="BE30"/>
  <c r="BB30"/>
  <c r="AY30"/>
  <c r="BG29"/>
  <c r="BF29"/>
  <c r="BD29"/>
  <c r="BC29"/>
  <c r="BA29"/>
  <c r="AZ29"/>
  <c r="BJ28"/>
  <c r="BI28"/>
  <c r="BE28"/>
  <c r="BB28"/>
  <c r="AY28"/>
  <c r="BJ27"/>
  <c r="BI27"/>
  <c r="BE27"/>
  <c r="BB27"/>
  <c r="AY27"/>
  <c r="BJ26"/>
  <c r="BI26"/>
  <c r="BE26"/>
  <c r="BB26"/>
  <c r="AY26"/>
  <c r="BG25"/>
  <c r="BF25"/>
  <c r="BD25"/>
  <c r="BC25"/>
  <c r="BA25"/>
  <c r="AZ25"/>
  <c r="BJ24"/>
  <c r="BI24"/>
  <c r="BE24"/>
  <c r="BB24"/>
  <c r="AY24"/>
  <c r="BJ23"/>
  <c r="BI23"/>
  <c r="BE23"/>
  <c r="BB23"/>
  <c r="AY23"/>
  <c r="BJ22"/>
  <c r="BI22"/>
  <c r="BE22"/>
  <c r="BB22"/>
  <c r="AY22"/>
  <c r="BG21"/>
  <c r="BF21"/>
  <c r="BD21"/>
  <c r="BC21"/>
  <c r="BA21"/>
  <c r="AZ21"/>
  <c r="BJ20"/>
  <c r="N100" i="39" s="1"/>
  <c r="BI20" i="12"/>
  <c r="L100" i="39" s="1"/>
  <c r="BE20" i="12"/>
  <c r="BB20"/>
  <c r="AY20"/>
  <c r="BJ19"/>
  <c r="N102" i="39" s="1"/>
  <c r="BI19" i="12"/>
  <c r="L102" i="39" s="1"/>
  <c r="BE19" i="12"/>
  <c r="BB19"/>
  <c r="AY19"/>
  <c r="BJ18"/>
  <c r="BI18"/>
  <c r="BE18"/>
  <c r="BB18"/>
  <c r="AY18"/>
  <c r="BG17"/>
  <c r="BF17"/>
  <c r="BD17"/>
  <c r="BC17"/>
  <c r="BA17"/>
  <c r="AZ17"/>
  <c r="BE16"/>
  <c r="AY16"/>
  <c r="BJ15"/>
  <c r="BI15"/>
  <c r="BE15"/>
  <c r="BB15"/>
  <c r="AY15"/>
  <c r="BJ14"/>
  <c r="BI14"/>
  <c r="BE14"/>
  <c r="BB14"/>
  <c r="AY14"/>
  <c r="BG13"/>
  <c r="BF13"/>
  <c r="BA13"/>
  <c r="AZ13"/>
  <c r="N105" i="39" l="1"/>
  <c r="N116" s="1"/>
  <c r="N118" s="1"/>
  <c r="N129" s="1"/>
  <c r="N133" s="1"/>
  <c r="K102"/>
  <c r="K100"/>
  <c r="F207" i="14"/>
  <c r="F208" s="1"/>
  <c r="BE17" i="12"/>
  <c r="BJ25"/>
  <c r="AY17"/>
  <c r="BJ21"/>
  <c r="BJ17"/>
  <c r="BE37"/>
  <c r="AY13"/>
  <c r="AY37"/>
  <c r="AY21"/>
  <c r="BE21"/>
  <c r="BH24"/>
  <c r="BB25"/>
  <c r="BH26"/>
  <c r="AY29"/>
  <c r="BE29"/>
  <c r="BH32"/>
  <c r="BB33"/>
  <c r="BI33"/>
  <c r="BB41"/>
  <c r="BH52"/>
  <c r="BH48"/>
  <c r="BB49"/>
  <c r="BJ49"/>
  <c r="BH51"/>
  <c r="BB21"/>
  <c r="BH22"/>
  <c r="BE25"/>
  <c r="BJ29"/>
  <c r="BI29"/>
  <c r="BJ45"/>
  <c r="BI49"/>
  <c r="BH49" s="1"/>
  <c r="BH33"/>
  <c r="BH31"/>
  <c r="BH42"/>
  <c r="AY45"/>
  <c r="BI21"/>
  <c r="BH21" s="1"/>
  <c r="BI25"/>
  <c r="BH25" s="1"/>
  <c r="K101" i="39" s="1"/>
  <c r="BH36" i="12"/>
  <c r="BH46"/>
  <c r="AY49"/>
  <c r="BE49"/>
  <c r="BH50"/>
  <c r="BH28"/>
  <c r="BB29"/>
  <c r="BE33"/>
  <c r="BJ37"/>
  <c r="BH38"/>
  <c r="BE41"/>
  <c r="BB45"/>
  <c r="BI45"/>
  <c r="BH23"/>
  <c r="BH27"/>
  <c r="BI37"/>
  <c r="BH37" s="1"/>
  <c r="BH47"/>
  <c r="BH44"/>
  <c r="BB37"/>
  <c r="BH43"/>
  <c r="BH40"/>
  <c r="BH39"/>
  <c r="BI41"/>
  <c r="BH41" s="1"/>
  <c r="BH14"/>
  <c r="BH15"/>
  <c r="AY25"/>
  <c r="BH35"/>
  <c r="BE45"/>
  <c r="AY41"/>
  <c r="BI17"/>
  <c r="BB17"/>
  <c r="BE13"/>
  <c r="BH18"/>
  <c r="AY33"/>
  <c r="BH19"/>
  <c r="BH20"/>
  <c r="L105" i="39" l="1"/>
  <c r="F209" i="14"/>
  <c r="P44" i="39" s="1"/>
  <c r="E27" i="13"/>
  <c r="BH17" i="12"/>
  <c r="BH29"/>
  <c r="BH45"/>
  <c r="K105" i="39" l="1"/>
  <c r="L116"/>
  <c r="O44"/>
  <c r="F212" i="14" s="1"/>
  <c r="P98" i="39"/>
  <c r="O98" s="1"/>
  <c r="F215" i="14"/>
  <c r="F216" s="1"/>
  <c r="D27" i="13"/>
  <c r="F27" s="1"/>
  <c r="BI16" i="12"/>
  <c r="BC13"/>
  <c r="BB16"/>
  <c r="BJ16"/>
  <c r="BD13"/>
  <c r="L118" i="39" l="1"/>
  <c r="K116"/>
  <c r="BJ13" i="12"/>
  <c r="BB13"/>
  <c r="BH16"/>
  <c r="BI13"/>
  <c r="K118" i="39" l="1"/>
  <c r="L129"/>
  <c r="P1185" i="7"/>
  <c r="O1185"/>
  <c r="R32" i="39" s="1"/>
  <c r="BH13" i="12"/>
  <c r="H1050" i="7"/>
  <c r="U895" s="1"/>
  <c r="P1050"/>
  <c r="N1050"/>
  <c r="K129" i="39" l="1"/>
  <c r="L133"/>
  <c r="K133" s="1"/>
  <c r="K135" s="1"/>
  <c r="M1050" i="7"/>
  <c r="P33" i="39" s="1"/>
  <c r="O33" l="1"/>
  <c r="R41"/>
  <c r="R116" s="1"/>
  <c r="R118" s="1"/>
  <c r="R129" s="1"/>
  <c r="R133" s="1"/>
  <c r="M584" i="7" l="1"/>
  <c r="M456"/>
  <c r="M289" l="1"/>
  <c r="A33" i="12" l="1"/>
  <c r="A37" s="1"/>
  <c r="A41" s="1"/>
  <c r="A45" s="1"/>
  <c r="A49" s="1"/>
  <c r="A9"/>
  <c r="A13" s="1"/>
  <c r="A17" s="1"/>
  <c r="A21" s="1"/>
  <c r="A25" s="1"/>
  <c r="E213" i="14"/>
  <c r="V27" i="15"/>
  <c r="AP16" i="12" l="1"/>
  <c r="AR13"/>
  <c r="AX16"/>
  <c r="AW16"/>
  <c r="K56"/>
  <c r="W8" s="1"/>
  <c r="W56" s="1"/>
  <c r="AI8" s="1"/>
  <c r="AI56" s="1"/>
  <c r="AU8" s="1"/>
  <c r="C5" i="13" l="1"/>
  <c r="C4"/>
  <c r="AX13" i="12"/>
  <c r="AQ13"/>
  <c r="AW13"/>
  <c r="AV13" s="1"/>
  <c r="AV16"/>
  <c r="AU56"/>
  <c r="H55"/>
  <c r="T7" s="1"/>
  <c r="T55" s="1"/>
  <c r="AF7" s="1"/>
  <c r="AF55" s="1"/>
  <c r="AR7" s="1"/>
  <c r="AR55" s="1"/>
  <c r="BD7" s="1"/>
  <c r="BD55" s="1"/>
  <c r="BP7" s="1"/>
  <c r="BP55" s="1"/>
  <c r="CB7" s="1"/>
  <c r="CB55" s="1"/>
  <c r="K60"/>
  <c r="W12" s="1"/>
  <c r="W60" s="1"/>
  <c r="AI12" s="1"/>
  <c r="AI60" s="1"/>
  <c r="AU12" s="1"/>
  <c r="K59"/>
  <c r="W11" s="1"/>
  <c r="W59" s="1"/>
  <c r="AI11" s="1"/>
  <c r="AI59" s="1"/>
  <c r="AU11" s="1"/>
  <c r="H60"/>
  <c r="T12" s="1"/>
  <c r="T60" s="1"/>
  <c r="AF12" s="1"/>
  <c r="AF60" s="1"/>
  <c r="AR12" s="1"/>
  <c r="H56"/>
  <c r="T8" s="1"/>
  <c r="T56" s="1"/>
  <c r="AF8" s="1"/>
  <c r="AF56" s="1"/>
  <c r="AR8" s="1"/>
  <c r="AR56" s="1"/>
  <c r="C6" i="13" l="1"/>
  <c r="C7" s="1"/>
  <c r="AP13" i="12"/>
  <c r="AU59"/>
  <c r="BG8"/>
  <c r="BG56" s="1"/>
  <c r="BS8" s="1"/>
  <c r="BS56" s="1"/>
  <c r="CE8" s="1"/>
  <c r="CE56" s="1"/>
  <c r="AR60"/>
  <c r="AU60"/>
  <c r="E60" l="1"/>
  <c r="N12"/>
  <c r="D55"/>
  <c r="M7"/>
  <c r="G58"/>
  <c r="J55"/>
  <c r="E59"/>
  <c r="BG11"/>
  <c r="BG59" s="1"/>
  <c r="BS11" s="1"/>
  <c r="BS59" s="1"/>
  <c r="CE11" s="1"/>
  <c r="CE59" s="1"/>
  <c r="BD12"/>
  <c r="BD8"/>
  <c r="D59" l="1"/>
  <c r="C11"/>
  <c r="M11"/>
  <c r="Q11"/>
  <c r="G54"/>
  <c r="F6"/>
  <c r="D54"/>
  <c r="C6"/>
  <c r="D5"/>
  <c r="H54"/>
  <c r="H5"/>
  <c r="D56"/>
  <c r="P7"/>
  <c r="Q12"/>
  <c r="N60"/>
  <c r="J58"/>
  <c r="V7"/>
  <c r="G60"/>
  <c r="F12"/>
  <c r="G9" s="1"/>
  <c r="G59"/>
  <c r="F11"/>
  <c r="J60"/>
  <c r="I12"/>
  <c r="J9" s="1"/>
  <c r="J59"/>
  <c r="I11"/>
  <c r="E55"/>
  <c r="N7"/>
  <c r="L7" s="1"/>
  <c r="E54"/>
  <c r="S10"/>
  <c r="D58"/>
  <c r="M10"/>
  <c r="G55"/>
  <c r="F7"/>
  <c r="J56"/>
  <c r="I8"/>
  <c r="C7"/>
  <c r="BG12"/>
  <c r="BD56"/>
  <c r="BP8" s="1"/>
  <c r="BP56" s="1"/>
  <c r="CB8" s="1"/>
  <c r="CB56" s="1"/>
  <c r="BD60"/>
  <c r="BP12" s="1"/>
  <c r="BP60" s="1"/>
  <c r="CB12" s="1"/>
  <c r="CB60" s="1"/>
  <c r="G57" l="1"/>
  <c r="I56"/>
  <c r="V8"/>
  <c r="S7"/>
  <c r="Y7" s="1"/>
  <c r="F55"/>
  <c r="P10"/>
  <c r="M58"/>
  <c r="Q6"/>
  <c r="Q7"/>
  <c r="O7" s="1"/>
  <c r="I59"/>
  <c r="V11"/>
  <c r="V12"/>
  <c r="I60"/>
  <c r="S11"/>
  <c r="S12"/>
  <c r="F60"/>
  <c r="Q60"/>
  <c r="Z12"/>
  <c r="P8"/>
  <c r="K55"/>
  <c r="I7"/>
  <c r="H59"/>
  <c r="N11"/>
  <c r="L11" s="1"/>
  <c r="H53"/>
  <c r="T6"/>
  <c r="P6"/>
  <c r="C54"/>
  <c r="D53"/>
  <c r="Q59"/>
  <c r="P11"/>
  <c r="C59"/>
  <c r="M59"/>
  <c r="M55"/>
  <c r="S58"/>
  <c r="V55"/>
  <c r="V10"/>
  <c r="J57"/>
  <c r="P55"/>
  <c r="S6"/>
  <c r="F54"/>
  <c r="C55"/>
  <c r="BG60"/>
  <c r="BS12" s="1"/>
  <c r="BS60" s="1"/>
  <c r="CE12" s="1"/>
  <c r="CE60" s="1"/>
  <c r="S9" l="1"/>
  <c r="J54"/>
  <c r="J5"/>
  <c r="I6"/>
  <c r="M6"/>
  <c r="AH7"/>
  <c r="AE10"/>
  <c r="D60"/>
  <c r="C12"/>
  <c r="D9" s="1"/>
  <c r="M12"/>
  <c r="Y11"/>
  <c r="O11"/>
  <c r="P59"/>
  <c r="AC11"/>
  <c r="P5"/>
  <c r="O6"/>
  <c r="P54"/>
  <c r="T11"/>
  <c r="R11" s="1"/>
  <c r="N59"/>
  <c r="L59" s="1"/>
  <c r="W7"/>
  <c r="Z7" s="1"/>
  <c r="X7" s="1"/>
  <c r="I55"/>
  <c r="K54"/>
  <c r="K5"/>
  <c r="N6"/>
  <c r="S60"/>
  <c r="R12"/>
  <c r="S59"/>
  <c r="U12"/>
  <c r="V60"/>
  <c r="G56"/>
  <c r="F8"/>
  <c r="G5"/>
  <c r="F5" s="1"/>
  <c r="M8"/>
  <c r="E58"/>
  <c r="E9"/>
  <c r="N10"/>
  <c r="C10"/>
  <c r="E56"/>
  <c r="N8"/>
  <c r="C8"/>
  <c r="E5"/>
  <c r="C5" s="1"/>
  <c r="U8"/>
  <c r="V56"/>
  <c r="N55"/>
  <c r="L55" s="1"/>
  <c r="S54"/>
  <c r="R6"/>
  <c r="AB7"/>
  <c r="V9"/>
  <c r="V58"/>
  <c r="T54"/>
  <c r="T5"/>
  <c r="P56"/>
  <c r="AC12"/>
  <c r="Z60"/>
  <c r="U11"/>
  <c r="V59"/>
  <c r="Q55"/>
  <c r="O55" s="1"/>
  <c r="Q54"/>
  <c r="Y10"/>
  <c r="P58"/>
  <c r="S55"/>
  <c r="R7"/>
  <c r="H58"/>
  <c r="H9"/>
  <c r="F9" s="1"/>
  <c r="F10"/>
  <c r="F59"/>
  <c r="H57" l="1"/>
  <c r="F57" s="1"/>
  <c r="T10"/>
  <c r="F58"/>
  <c r="R55"/>
  <c r="AE7"/>
  <c r="AB10"/>
  <c r="Y58"/>
  <c r="U59"/>
  <c r="AH11"/>
  <c r="AB8"/>
  <c r="T53"/>
  <c r="AF6"/>
  <c r="AK7"/>
  <c r="AB55"/>
  <c r="AN7" s="1"/>
  <c r="N56"/>
  <c r="Q8"/>
  <c r="E53"/>
  <c r="C53" s="1"/>
  <c r="C56"/>
  <c r="N9"/>
  <c r="L10"/>
  <c r="Q10"/>
  <c r="E57"/>
  <c r="C58"/>
  <c r="F56"/>
  <c r="S8"/>
  <c r="M56"/>
  <c r="G53"/>
  <c r="F53" s="1"/>
  <c r="F67" s="1"/>
  <c r="AE11"/>
  <c r="R60"/>
  <c r="AE12"/>
  <c r="AB6"/>
  <c r="P53"/>
  <c r="O54"/>
  <c r="AC59"/>
  <c r="AO11" s="1"/>
  <c r="AO59" s="1"/>
  <c r="BA11" s="1"/>
  <c r="BA59" s="1"/>
  <c r="BM11" s="1"/>
  <c r="AB11"/>
  <c r="O59"/>
  <c r="Y59"/>
  <c r="L12"/>
  <c r="M9" s="1"/>
  <c r="P12"/>
  <c r="C60"/>
  <c r="M60"/>
  <c r="D57"/>
  <c r="AH55"/>
  <c r="AT7" s="1"/>
  <c r="L6"/>
  <c r="M5"/>
  <c r="S57"/>
  <c r="I5"/>
  <c r="AC6"/>
  <c r="AC7"/>
  <c r="AA7" s="1"/>
  <c r="AC60"/>
  <c r="AL12"/>
  <c r="AH10"/>
  <c r="V57"/>
  <c r="AE6"/>
  <c r="R54"/>
  <c r="U56"/>
  <c r="AH8"/>
  <c r="U60"/>
  <c r="AH12"/>
  <c r="K53"/>
  <c r="W6"/>
  <c r="N54"/>
  <c r="N53" s="1"/>
  <c r="W55"/>
  <c r="Z55" s="1"/>
  <c r="U7"/>
  <c r="T59"/>
  <c r="R59" s="1"/>
  <c r="Z11"/>
  <c r="X11" s="1"/>
  <c r="V6"/>
  <c r="J53"/>
  <c r="I54"/>
  <c r="M54"/>
  <c r="K58"/>
  <c r="K9"/>
  <c r="I9" s="1"/>
  <c r="I10"/>
  <c r="Y55"/>
  <c r="L8"/>
  <c r="N5"/>
  <c r="C9"/>
  <c r="F213" i="14"/>
  <c r="AE18" i="12" l="1"/>
  <c r="L9"/>
  <c r="BM59"/>
  <c r="BY11" s="1"/>
  <c r="C57"/>
  <c r="I53"/>
  <c r="AE9"/>
  <c r="AL60"/>
  <c r="AO12"/>
  <c r="AN55"/>
  <c r="AT55"/>
  <c r="L56"/>
  <c r="K57"/>
  <c r="I57" s="1"/>
  <c r="W10"/>
  <c r="Z10" s="1"/>
  <c r="I58"/>
  <c r="U6"/>
  <c r="V5"/>
  <c r="V54"/>
  <c r="Y6"/>
  <c r="AH58"/>
  <c r="AT10" s="1"/>
  <c r="L60"/>
  <c r="M57"/>
  <c r="Y12"/>
  <c r="P60"/>
  <c r="O12"/>
  <c r="P9" s="1"/>
  <c r="AE60"/>
  <c r="AD12"/>
  <c r="S56"/>
  <c r="R8"/>
  <c r="S5"/>
  <c r="R5" s="1"/>
  <c r="Y8"/>
  <c r="Q56"/>
  <c r="Z8"/>
  <c r="O8"/>
  <c r="Q5"/>
  <c r="O5" s="1"/>
  <c r="AH59"/>
  <c r="AG11"/>
  <c r="AE55"/>
  <c r="AK55" s="1"/>
  <c r="AD7"/>
  <c r="X55"/>
  <c r="N58"/>
  <c r="L54"/>
  <c r="M53"/>
  <c r="L53" s="1"/>
  <c r="AF11"/>
  <c r="AD11" s="1"/>
  <c r="Z59"/>
  <c r="X59" s="1"/>
  <c r="AI7"/>
  <c r="U55"/>
  <c r="W54"/>
  <c r="W5"/>
  <c r="Z6"/>
  <c r="AG12"/>
  <c r="AH9" s="1"/>
  <c r="AH60"/>
  <c r="AH56"/>
  <c r="AG8"/>
  <c r="AE54"/>
  <c r="AQ6" s="1"/>
  <c r="AQ18" s="1"/>
  <c r="AD6"/>
  <c r="AC55"/>
  <c r="AO7" s="1"/>
  <c r="AO55" s="1"/>
  <c r="BA7" s="1"/>
  <c r="BA55" s="1"/>
  <c r="BM7" s="1"/>
  <c r="AL7"/>
  <c r="AJ7" s="1"/>
  <c r="AC54"/>
  <c r="AO6" s="1"/>
  <c r="AK11"/>
  <c r="AA11"/>
  <c r="AB59"/>
  <c r="AN11" s="1"/>
  <c r="AA6"/>
  <c r="AB5"/>
  <c r="AB54"/>
  <c r="AN6" s="1"/>
  <c r="AE59"/>
  <c r="AQ11" s="1"/>
  <c r="Q58"/>
  <c r="Q9"/>
  <c r="O10"/>
  <c r="AF54"/>
  <c r="AF5"/>
  <c r="AB56"/>
  <c r="AN8" s="1"/>
  <c r="AK10"/>
  <c r="AB58"/>
  <c r="AN10" s="1"/>
  <c r="T58"/>
  <c r="T9"/>
  <c r="R9" s="1"/>
  <c r="R10"/>
  <c r="L5"/>
  <c r="AP18" l="1"/>
  <c r="AW18"/>
  <c r="AQ17"/>
  <c r="AP17" s="1"/>
  <c r="AK18"/>
  <c r="AE17"/>
  <c r="AD17" s="1"/>
  <c r="AD18"/>
  <c r="AE58"/>
  <c r="AQ10" s="1"/>
  <c r="AQ58" s="1"/>
  <c r="BY59"/>
  <c r="BM55"/>
  <c r="BY7" s="1"/>
  <c r="AA55"/>
  <c r="Z5"/>
  <c r="AN58"/>
  <c r="AM11"/>
  <c r="AN59"/>
  <c r="AO60"/>
  <c r="AX12"/>
  <c r="AF53"/>
  <c r="AR6"/>
  <c r="AP6" s="1"/>
  <c r="AD55"/>
  <c r="AQ7"/>
  <c r="AQ54"/>
  <c r="AN56"/>
  <c r="AM6"/>
  <c r="AN5"/>
  <c r="AN54"/>
  <c r="AO54"/>
  <c r="AM7"/>
  <c r="AM55"/>
  <c r="AZ7"/>
  <c r="AQ59"/>
  <c r="BC10"/>
  <c r="AG56"/>
  <c r="AT8"/>
  <c r="BF7"/>
  <c r="AG59"/>
  <c r="AT11"/>
  <c r="AW10"/>
  <c r="AT58"/>
  <c r="AD60"/>
  <c r="AQ12"/>
  <c r="AG60"/>
  <c r="AT12"/>
  <c r="AK58"/>
  <c r="Z9"/>
  <c r="X10"/>
  <c r="AC10"/>
  <c r="Q57"/>
  <c r="O58"/>
  <c r="W53"/>
  <c r="AI6"/>
  <c r="Z54"/>
  <c r="AI55"/>
  <c r="AL55" s="1"/>
  <c r="AJ55" s="1"/>
  <c r="AG7"/>
  <c r="AF59"/>
  <c r="AD59" s="1"/>
  <c r="AL11"/>
  <c r="AJ11" s="1"/>
  <c r="Z56"/>
  <c r="AC8"/>
  <c r="O56"/>
  <c r="Q53"/>
  <c r="O53" s="1"/>
  <c r="AE8"/>
  <c r="R56"/>
  <c r="Y56"/>
  <c r="S53"/>
  <c r="R53" s="1"/>
  <c r="R67" s="1"/>
  <c r="X12"/>
  <c r="Y9"/>
  <c r="Y5"/>
  <c r="X5" s="1"/>
  <c r="X6"/>
  <c r="AE57"/>
  <c r="U5"/>
  <c r="T57"/>
  <c r="R57" s="1"/>
  <c r="AF10"/>
  <c r="R58"/>
  <c r="AB53"/>
  <c r="AA54"/>
  <c r="AA59"/>
  <c r="AK59"/>
  <c r="AD54"/>
  <c r="N57"/>
  <c r="L58"/>
  <c r="AB12"/>
  <c r="O60"/>
  <c r="Y60"/>
  <c r="P57"/>
  <c r="AH57"/>
  <c r="AH6"/>
  <c r="U54"/>
  <c r="V53"/>
  <c r="Y54"/>
  <c r="W58"/>
  <c r="W9"/>
  <c r="U9" s="1"/>
  <c r="U10"/>
  <c r="X8"/>
  <c r="O9"/>
  <c r="L57"/>
  <c r="AW17" l="1"/>
  <c r="AV17" s="1"/>
  <c r="AV18"/>
  <c r="AJ18"/>
  <c r="AK17"/>
  <c r="AJ17" s="1"/>
  <c r="BY55"/>
  <c r="X56"/>
  <c r="O57"/>
  <c r="U53"/>
  <c r="AM59"/>
  <c r="AZ11"/>
  <c r="BA12"/>
  <c r="AX60"/>
  <c r="AZ10"/>
  <c r="BC6"/>
  <c r="AQ55"/>
  <c r="AP7"/>
  <c r="AW7"/>
  <c r="AR54"/>
  <c r="AR5"/>
  <c r="AM54"/>
  <c r="AN53"/>
  <c r="AZ6"/>
  <c r="AZ55"/>
  <c r="AY7"/>
  <c r="BA6"/>
  <c r="AZ8"/>
  <c r="AL59"/>
  <c r="AJ59" s="1"/>
  <c r="AR11"/>
  <c r="BC11"/>
  <c r="X9"/>
  <c r="BC58"/>
  <c r="BO10" s="1"/>
  <c r="AS11"/>
  <c r="AW11"/>
  <c r="AT59"/>
  <c r="BF55"/>
  <c r="BR7" s="1"/>
  <c r="AG55"/>
  <c r="AU7"/>
  <c r="AW58"/>
  <c r="BF10"/>
  <c r="AT56"/>
  <c r="AS8"/>
  <c r="AQ60"/>
  <c r="AQ9"/>
  <c r="AP12"/>
  <c r="AT60"/>
  <c r="AS12"/>
  <c r="AT9" s="1"/>
  <c r="Y53"/>
  <c r="X54"/>
  <c r="AF58"/>
  <c r="AR10" s="1"/>
  <c r="AF9"/>
  <c r="AD9" s="1"/>
  <c r="AD10"/>
  <c r="AE56"/>
  <c r="AQ8" s="1"/>
  <c r="AW8" s="1"/>
  <c r="AD8"/>
  <c r="AE5"/>
  <c r="AD5" s="1"/>
  <c r="AK8"/>
  <c r="AI54"/>
  <c r="AU6" s="1"/>
  <c r="AI5"/>
  <c r="AL6"/>
  <c r="AI10"/>
  <c r="AL10" s="1"/>
  <c r="W57"/>
  <c r="U57" s="1"/>
  <c r="U58"/>
  <c r="AH54"/>
  <c r="AT6" s="1"/>
  <c r="AH5"/>
  <c r="AG6"/>
  <c r="AK6"/>
  <c r="X60"/>
  <c r="Y57"/>
  <c r="AK12"/>
  <c r="AB60"/>
  <c r="AN12" s="1"/>
  <c r="AW12" s="1"/>
  <c r="AA12"/>
  <c r="AB9" s="1"/>
  <c r="AC56"/>
  <c r="AO8" s="1"/>
  <c r="AL8"/>
  <c r="AC5"/>
  <c r="AA5" s="1"/>
  <c r="AA8"/>
  <c r="AC58"/>
  <c r="AO10" s="1"/>
  <c r="AC9"/>
  <c r="AA10"/>
  <c r="Z53"/>
  <c r="Z58"/>
  <c r="BO58" l="1"/>
  <c r="CA10" s="1"/>
  <c r="AY55"/>
  <c r="BL7"/>
  <c r="AG5"/>
  <c r="AJ8"/>
  <c r="AN60"/>
  <c r="AW60" s="1"/>
  <c r="AM12"/>
  <c r="AN9" s="1"/>
  <c r="AZ58"/>
  <c r="BL10" s="1"/>
  <c r="BA60"/>
  <c r="BJ12"/>
  <c r="AO58"/>
  <c r="AO9"/>
  <c r="AM10"/>
  <c r="AZ59"/>
  <c r="AY11"/>
  <c r="AQ56"/>
  <c r="AQ53" s="1"/>
  <c r="AP8"/>
  <c r="AP55"/>
  <c r="BC7"/>
  <c r="AW55"/>
  <c r="AQ5"/>
  <c r="AP5" s="1"/>
  <c r="AR53"/>
  <c r="BD6"/>
  <c r="BB6" s="1"/>
  <c r="BC54"/>
  <c r="BO6" s="1"/>
  <c r="AP54"/>
  <c r="AO56"/>
  <c r="AX8"/>
  <c r="AV8" s="1"/>
  <c r="AM8"/>
  <c r="AO5"/>
  <c r="AM5" s="1"/>
  <c r="AZ56"/>
  <c r="BL8" s="1"/>
  <c r="BA54"/>
  <c r="BM6" s="1"/>
  <c r="AZ54"/>
  <c r="BL6" s="1"/>
  <c r="AY6"/>
  <c r="AZ5"/>
  <c r="AL5"/>
  <c r="AR58"/>
  <c r="AR9"/>
  <c r="AP9" s="1"/>
  <c r="AP10"/>
  <c r="BC59"/>
  <c r="BO11" s="1"/>
  <c r="AR59"/>
  <c r="AX11"/>
  <c r="AV11" s="1"/>
  <c r="AP11"/>
  <c r="AT54"/>
  <c r="AS6"/>
  <c r="AT5"/>
  <c r="AW6"/>
  <c r="AU54"/>
  <c r="AU5"/>
  <c r="AX6"/>
  <c r="BF58"/>
  <c r="BR10" s="1"/>
  <c r="BI10"/>
  <c r="AS59"/>
  <c r="AW59"/>
  <c r="BF11"/>
  <c r="AS56"/>
  <c r="BF8"/>
  <c r="AU55"/>
  <c r="AX7"/>
  <c r="AV7" s="1"/>
  <c r="AS7"/>
  <c r="AQ57"/>
  <c r="AP60"/>
  <c r="BC12"/>
  <c r="AW9"/>
  <c r="AV12"/>
  <c r="AT57"/>
  <c r="BF12"/>
  <c r="AS60"/>
  <c r="Z57"/>
  <c r="X58"/>
  <c r="AL9"/>
  <c r="AJ10"/>
  <c r="AL56"/>
  <c r="AC53"/>
  <c r="AA53" s="1"/>
  <c r="AA56"/>
  <c r="AJ12"/>
  <c r="AK9" s="1"/>
  <c r="AA60"/>
  <c r="AK60"/>
  <c r="AB57"/>
  <c r="AK5"/>
  <c r="AJ6"/>
  <c r="AI58"/>
  <c r="AU10" s="1"/>
  <c r="AI9"/>
  <c r="AG9" s="1"/>
  <c r="AG10"/>
  <c r="AF57"/>
  <c r="AD57" s="1"/>
  <c r="AD58"/>
  <c r="AA9"/>
  <c r="X57"/>
  <c r="X53"/>
  <c r="AC57"/>
  <c r="AA58"/>
  <c r="AG54"/>
  <c r="AH53"/>
  <c r="AK54"/>
  <c r="AI53"/>
  <c r="AL54"/>
  <c r="AD56"/>
  <c r="AK56"/>
  <c r="AE53"/>
  <c r="AD53" s="1"/>
  <c r="AD67" s="1"/>
  <c r="CA58" l="1"/>
  <c r="BR58"/>
  <c r="CD10" s="1"/>
  <c r="BL56"/>
  <c r="BX8" s="1"/>
  <c r="BL55"/>
  <c r="BX7" s="1"/>
  <c r="BK7"/>
  <c r="BM54"/>
  <c r="BY6" s="1"/>
  <c r="BO54"/>
  <c r="CA6" s="1"/>
  <c r="BL58"/>
  <c r="BX10" s="1"/>
  <c r="BU10"/>
  <c r="BL54"/>
  <c r="BX6" s="1"/>
  <c r="BL5"/>
  <c r="BK6"/>
  <c r="BJ60"/>
  <c r="BM12"/>
  <c r="AY59"/>
  <c r="BL11"/>
  <c r="AL58"/>
  <c r="AJ58" s="1"/>
  <c r="AS5"/>
  <c r="AJ5"/>
  <c r="AW56"/>
  <c r="AO57"/>
  <c r="BA10"/>
  <c r="AM58"/>
  <c r="AM60"/>
  <c r="AZ12"/>
  <c r="BI12" s="1"/>
  <c r="AN57"/>
  <c r="AM9"/>
  <c r="BD54"/>
  <c r="BD5"/>
  <c r="AP56"/>
  <c r="BC8"/>
  <c r="BI8" s="1"/>
  <c r="BC55"/>
  <c r="BO7" s="1"/>
  <c r="BB7"/>
  <c r="BI7"/>
  <c r="AP53"/>
  <c r="AP67" s="1"/>
  <c r="AZ53"/>
  <c r="AY54"/>
  <c r="AX56"/>
  <c r="BA8"/>
  <c r="AO53"/>
  <c r="AM53" s="1"/>
  <c r="AM56"/>
  <c r="AX5"/>
  <c r="AX59"/>
  <c r="AV59" s="1"/>
  <c r="BD11"/>
  <c r="AP59"/>
  <c r="AR57"/>
  <c r="AP57" s="1"/>
  <c r="BD10"/>
  <c r="AP58"/>
  <c r="AU58"/>
  <c r="AX10"/>
  <c r="AU9"/>
  <c r="AS9" s="1"/>
  <c r="AS10"/>
  <c r="AX55"/>
  <c r="AV55" s="1"/>
  <c r="BG7"/>
  <c r="AS55"/>
  <c r="BF59"/>
  <c r="BR11" s="1"/>
  <c r="BE11"/>
  <c r="BI11"/>
  <c r="AU53"/>
  <c r="AX54"/>
  <c r="BG6"/>
  <c r="AS54"/>
  <c r="AT53"/>
  <c r="AW54"/>
  <c r="BF6"/>
  <c r="BE8"/>
  <c r="BF56"/>
  <c r="BR8" s="1"/>
  <c r="BI58"/>
  <c r="AW5"/>
  <c r="AV6"/>
  <c r="AJ56"/>
  <c r="AL53"/>
  <c r="BB12"/>
  <c r="BC9" s="1"/>
  <c r="BC60"/>
  <c r="BO12" s="1"/>
  <c r="BF60"/>
  <c r="BR12" s="1"/>
  <c r="BF9"/>
  <c r="BE12"/>
  <c r="AW57"/>
  <c r="AV60"/>
  <c r="AI57"/>
  <c r="AG57" s="1"/>
  <c r="AG58"/>
  <c r="AJ60"/>
  <c r="AK57"/>
  <c r="AG53"/>
  <c r="AJ9"/>
  <c r="AK53"/>
  <c r="AJ54"/>
  <c r="AA57"/>
  <c r="AL57" l="1"/>
  <c r="CA54"/>
  <c r="BQ16"/>
  <c r="BQ15"/>
  <c r="BR55"/>
  <c r="CD7" s="1"/>
  <c r="BX58"/>
  <c r="CD58"/>
  <c r="CG58" s="1"/>
  <c r="CG10"/>
  <c r="BX54"/>
  <c r="BX5"/>
  <c r="BW6"/>
  <c r="BY54"/>
  <c r="BX56"/>
  <c r="BX55"/>
  <c r="BW7"/>
  <c r="AS53"/>
  <c r="BL53"/>
  <c r="BK54"/>
  <c r="BN12"/>
  <c r="BO9" s="1"/>
  <c r="BQ8"/>
  <c r="BR56"/>
  <c r="BM60"/>
  <c r="BV12"/>
  <c r="BL59"/>
  <c r="BX11" s="1"/>
  <c r="BU11"/>
  <c r="BK11"/>
  <c r="BQ12"/>
  <c r="BR9" s="1"/>
  <c r="BQ11"/>
  <c r="BR59"/>
  <c r="BN7"/>
  <c r="BD53"/>
  <c r="BP6"/>
  <c r="BK55"/>
  <c r="BU58"/>
  <c r="BU7"/>
  <c r="AJ53"/>
  <c r="AM57"/>
  <c r="BB54"/>
  <c r="AV5"/>
  <c r="AV56"/>
  <c r="AY12"/>
  <c r="AZ60"/>
  <c r="AZ9"/>
  <c r="BA58"/>
  <c r="BM10" s="1"/>
  <c r="BA9"/>
  <c r="AY10"/>
  <c r="BB55"/>
  <c r="BI55"/>
  <c r="BC5"/>
  <c r="BB5" s="1"/>
  <c r="BC56"/>
  <c r="BB8"/>
  <c r="BA56"/>
  <c r="BM8" s="1"/>
  <c r="BJ8"/>
  <c r="BH8" s="1"/>
  <c r="AY8"/>
  <c r="BA5"/>
  <c r="AY5" s="1"/>
  <c r="BD58"/>
  <c r="BP10" s="1"/>
  <c r="BD9"/>
  <c r="BB9" s="1"/>
  <c r="BB10"/>
  <c r="BJ11"/>
  <c r="BH11" s="1"/>
  <c r="BD59"/>
  <c r="BP11" s="1"/>
  <c r="BB11"/>
  <c r="BE6"/>
  <c r="BI6"/>
  <c r="BF54"/>
  <c r="BR6" s="1"/>
  <c r="BF5"/>
  <c r="BG5"/>
  <c r="BG54"/>
  <c r="BS6" s="1"/>
  <c r="BJ6"/>
  <c r="AX58"/>
  <c r="AU57"/>
  <c r="AS57" s="1"/>
  <c r="BG10"/>
  <c r="AS58"/>
  <c r="BE56"/>
  <c r="AW53"/>
  <c r="AV54"/>
  <c r="BE59"/>
  <c r="BI59"/>
  <c r="BG55"/>
  <c r="BS7" s="1"/>
  <c r="BJ7"/>
  <c r="BH7" s="1"/>
  <c r="BE7"/>
  <c r="AX9"/>
  <c r="AV9" s="1"/>
  <c r="AV10"/>
  <c r="AX53"/>
  <c r="BC57"/>
  <c r="BB60"/>
  <c r="BH12"/>
  <c r="BI9" s="1"/>
  <c r="BF57"/>
  <c r="BE60"/>
  <c r="AJ57"/>
  <c r="BO55" l="1"/>
  <c r="BU55" s="1"/>
  <c r="BR60"/>
  <c r="CD12" s="1"/>
  <c r="BR13"/>
  <c r="BQ13" s="1"/>
  <c r="BQ59"/>
  <c r="CD11"/>
  <c r="BV60"/>
  <c r="BY12"/>
  <c r="CD55"/>
  <c r="BN15"/>
  <c r="BU15"/>
  <c r="BO59"/>
  <c r="CA11" s="1"/>
  <c r="BX59"/>
  <c r="BW11"/>
  <c r="BW55"/>
  <c r="BX53"/>
  <c r="BW54"/>
  <c r="BQ56"/>
  <c r="CD8"/>
  <c r="BP59"/>
  <c r="CB11" s="1"/>
  <c r="BV11"/>
  <c r="BT11" s="1"/>
  <c r="BN11"/>
  <c r="BM56"/>
  <c r="BY8" s="1"/>
  <c r="BV8"/>
  <c r="BM5"/>
  <c r="BK5" s="1"/>
  <c r="BK8"/>
  <c r="BS55"/>
  <c r="CE7" s="1"/>
  <c r="CC7" s="1"/>
  <c r="BV7"/>
  <c r="BT7" s="1"/>
  <c r="BQ7"/>
  <c r="BB56"/>
  <c r="BO8"/>
  <c r="BI60"/>
  <c r="BH60" s="1"/>
  <c r="BL12"/>
  <c r="BQ6"/>
  <c r="BR5"/>
  <c r="BR54"/>
  <c r="CD6" s="1"/>
  <c r="BU6"/>
  <c r="BP58"/>
  <c r="CB10" s="1"/>
  <c r="BP9"/>
  <c r="BN9" s="1"/>
  <c r="BN10"/>
  <c r="BM58"/>
  <c r="BY10" s="1"/>
  <c r="BM9"/>
  <c r="BK10"/>
  <c r="BP54"/>
  <c r="CB6" s="1"/>
  <c r="BP5"/>
  <c r="BV6"/>
  <c r="BN6"/>
  <c r="BK59"/>
  <c r="BS54"/>
  <c r="CE6" s="1"/>
  <c r="BS5"/>
  <c r="BE5"/>
  <c r="BC53"/>
  <c r="BB53" s="1"/>
  <c r="BB67" s="1"/>
  <c r="BI56"/>
  <c r="AY9"/>
  <c r="BA57"/>
  <c r="AY58"/>
  <c r="AY60"/>
  <c r="AZ57"/>
  <c r="BJ56"/>
  <c r="AY56"/>
  <c r="BA53"/>
  <c r="AY53" s="1"/>
  <c r="BJ59"/>
  <c r="BH59" s="1"/>
  <c r="BB59"/>
  <c r="BD57"/>
  <c r="BB57" s="1"/>
  <c r="BB58"/>
  <c r="BF53"/>
  <c r="BE54"/>
  <c r="BI54"/>
  <c r="BJ5"/>
  <c r="BJ55"/>
  <c r="BH55" s="1"/>
  <c r="BE55"/>
  <c r="BG58"/>
  <c r="BS10" s="1"/>
  <c r="BG9"/>
  <c r="BE9" s="1"/>
  <c r="BJ10"/>
  <c r="BE10"/>
  <c r="AX57"/>
  <c r="AV57" s="1"/>
  <c r="AV58"/>
  <c r="BJ54"/>
  <c r="BG53"/>
  <c r="BI5"/>
  <c r="BH6"/>
  <c r="AV53"/>
  <c r="BN55" l="1"/>
  <c r="BQ60"/>
  <c r="BR57"/>
  <c r="CA7"/>
  <c r="BZ7" s="1"/>
  <c r="CD13"/>
  <c r="CC13" s="1"/>
  <c r="CC16"/>
  <c r="CG16"/>
  <c r="BU59"/>
  <c r="CE54"/>
  <c r="CE5"/>
  <c r="CD54"/>
  <c r="CC6"/>
  <c r="CD5"/>
  <c r="CG6"/>
  <c r="BW59"/>
  <c r="CG11"/>
  <c r="BZ11"/>
  <c r="CA59"/>
  <c r="BU16"/>
  <c r="BT16" s="1"/>
  <c r="BN16"/>
  <c r="BO60"/>
  <c r="BY58"/>
  <c r="BY9"/>
  <c r="CH10"/>
  <c r="BW10"/>
  <c r="CC11"/>
  <c r="CD59"/>
  <c r="CD9"/>
  <c r="CB54"/>
  <c r="CB5"/>
  <c r="BZ6"/>
  <c r="CH6"/>
  <c r="CB58"/>
  <c r="CB9"/>
  <c r="BZ10"/>
  <c r="CE55"/>
  <c r="CH55" s="1"/>
  <c r="CH7"/>
  <c r="BY56"/>
  <c r="CH8"/>
  <c r="BY5"/>
  <c r="BW5" s="1"/>
  <c r="BW8"/>
  <c r="CC8"/>
  <c r="CD56"/>
  <c r="CC56" s="1"/>
  <c r="BT15"/>
  <c r="CB59"/>
  <c r="CH59" s="1"/>
  <c r="CH11"/>
  <c r="CC12"/>
  <c r="CD60"/>
  <c r="CC60" s="1"/>
  <c r="BY60"/>
  <c r="CH60" s="1"/>
  <c r="CH12"/>
  <c r="BO13"/>
  <c r="BS53"/>
  <c r="BQ5"/>
  <c r="BR53"/>
  <c r="BQ54"/>
  <c r="BU54"/>
  <c r="BL60"/>
  <c r="BX12" s="1"/>
  <c r="BU12"/>
  <c r="BK12"/>
  <c r="BL9" s="1"/>
  <c r="BK9" s="1"/>
  <c r="BI57"/>
  <c r="BV59"/>
  <c r="BN59"/>
  <c r="BM57"/>
  <c r="BK58"/>
  <c r="BT6"/>
  <c r="BV5"/>
  <c r="BP53"/>
  <c r="BV54"/>
  <c r="BN54"/>
  <c r="BS58"/>
  <c r="CE10" s="1"/>
  <c r="BS9"/>
  <c r="BQ9" s="1"/>
  <c r="BQ10"/>
  <c r="BP57"/>
  <c r="BN58"/>
  <c r="BO56"/>
  <c r="CA8" s="1"/>
  <c r="BN8"/>
  <c r="BU8"/>
  <c r="BT8" s="1"/>
  <c r="BO5"/>
  <c r="BN5" s="1"/>
  <c r="BV55"/>
  <c r="BT55" s="1"/>
  <c r="BQ55"/>
  <c r="BV56"/>
  <c r="BK56"/>
  <c r="BM53"/>
  <c r="BK53" s="1"/>
  <c r="BV10"/>
  <c r="AY57"/>
  <c r="BH56"/>
  <c r="BJ53"/>
  <c r="BH5"/>
  <c r="BI53"/>
  <c r="BH54"/>
  <c r="BH10"/>
  <c r="BJ9"/>
  <c r="BH9" s="1"/>
  <c r="BJ58"/>
  <c r="BG57"/>
  <c r="BE57" s="1"/>
  <c r="BE58"/>
  <c r="BE53"/>
  <c r="CA55" l="1"/>
  <c r="CG55" s="1"/>
  <c r="CF55" s="1"/>
  <c r="BU13"/>
  <c r="BT13" s="1"/>
  <c r="CG59"/>
  <c r="CF59" s="1"/>
  <c r="CG7"/>
  <c r="CF7" s="1"/>
  <c r="CF16"/>
  <c r="CG13"/>
  <c r="CF13" s="1"/>
  <c r="BT59"/>
  <c r="CF11"/>
  <c r="CG8"/>
  <c r="BZ8"/>
  <c r="CA56"/>
  <c r="BN13"/>
  <c r="CB53"/>
  <c r="BZ54"/>
  <c r="CH54"/>
  <c r="BY57"/>
  <c r="BW58"/>
  <c r="CH56"/>
  <c r="BY53"/>
  <c r="BW53" s="1"/>
  <c r="BW56"/>
  <c r="CC59"/>
  <c r="CD57"/>
  <c r="CA5"/>
  <c r="BZ5" s="1"/>
  <c r="CC5"/>
  <c r="CE53"/>
  <c r="BX60"/>
  <c r="BW12"/>
  <c r="BX9"/>
  <c r="BW9" s="1"/>
  <c r="CF10"/>
  <c r="CH9"/>
  <c r="CF6"/>
  <c r="CC10"/>
  <c r="CE9"/>
  <c r="CC9" s="1"/>
  <c r="CE58"/>
  <c r="CH58" s="1"/>
  <c r="CA12"/>
  <c r="BO57"/>
  <c r="BN57" s="1"/>
  <c r="BN60"/>
  <c r="BZ59"/>
  <c r="CC54"/>
  <c r="CD53"/>
  <c r="CG54"/>
  <c r="CH5"/>
  <c r="CC55"/>
  <c r="CB57"/>
  <c r="BZ58"/>
  <c r="BV53"/>
  <c r="BQ53"/>
  <c r="BT54"/>
  <c r="BV9"/>
  <c r="BT10"/>
  <c r="BS57"/>
  <c r="BQ57" s="1"/>
  <c r="BQ58"/>
  <c r="BT12"/>
  <c r="BU9" s="1"/>
  <c r="BU5"/>
  <c r="BT5" s="1"/>
  <c r="BU60"/>
  <c r="BK60"/>
  <c r="BL57"/>
  <c r="BK57" s="1"/>
  <c r="BN56"/>
  <c r="BO53"/>
  <c r="BN53" s="1"/>
  <c r="BN67" s="1"/>
  <c r="BU56"/>
  <c r="BT56" s="1"/>
  <c r="BH53"/>
  <c r="BV58"/>
  <c r="BJ57"/>
  <c r="BH57" s="1"/>
  <c r="BH58"/>
  <c r="BZ55" l="1"/>
  <c r="CA53"/>
  <c r="BZ53" s="1"/>
  <c r="BZ67" s="1"/>
  <c r="CG5"/>
  <c r="CF5" s="1"/>
  <c r="CC53"/>
  <c r="CF8"/>
  <c r="CH57"/>
  <c r="CF58"/>
  <c r="BW60"/>
  <c r="BX57"/>
  <c r="BW57" s="1"/>
  <c r="CF54"/>
  <c r="CE57"/>
  <c r="CC57" s="1"/>
  <c r="CC58"/>
  <c r="BZ56"/>
  <c r="CG56"/>
  <c r="CF56" s="1"/>
  <c r="CH53"/>
  <c r="CG12"/>
  <c r="BZ12"/>
  <c r="CA60"/>
  <c r="CG60" s="1"/>
  <c r="C33" i="13" s="1"/>
  <c r="CA9" i="12"/>
  <c r="BZ9" s="1"/>
  <c r="BU53"/>
  <c r="BT53" s="1"/>
  <c r="BV57"/>
  <c r="BT58"/>
  <c r="BT60"/>
  <c r="BU57"/>
  <c r="BT9"/>
  <c r="CF60" l="1"/>
  <c r="CG57"/>
  <c r="CF57" s="1"/>
  <c r="CG9"/>
  <c r="CF9" s="1"/>
  <c r="CF12"/>
  <c r="CG53"/>
  <c r="CF53" s="1"/>
  <c r="BZ60"/>
  <c r="CA57"/>
  <c r="BZ57" s="1"/>
  <c r="BT57"/>
  <c r="P27" i="15"/>
  <c r="U32" i="2" l="1"/>
  <c r="U34" l="1"/>
  <c r="U36" s="1"/>
  <c r="P7" i="39" s="1"/>
  <c r="J19" i="13" s="1"/>
  <c r="J20" s="1"/>
  <c r="I26" s="1"/>
  <c r="E5" s="1"/>
  <c r="O7" i="39" l="1"/>
  <c r="Q36" i="2"/>
  <c r="U24" l="1"/>
  <c r="U26" l="1"/>
  <c r="U28" s="1"/>
  <c r="P6" i="39" s="1"/>
  <c r="I19" i="13" s="1"/>
  <c r="K19" l="1"/>
  <c r="K20" s="1"/>
  <c r="J26" s="1"/>
  <c r="I20"/>
  <c r="H26" s="1"/>
  <c r="E4" s="1"/>
  <c r="E6" s="1"/>
  <c r="O6" i="39"/>
  <c r="P19"/>
  <c r="U39" i="2"/>
  <c r="Q28"/>
  <c r="P29" i="39" l="1"/>
  <c r="O19"/>
  <c r="O29" l="1"/>
  <c r="C41" l="1"/>
  <c r="I1487" i="7"/>
  <c r="I1185"/>
  <c r="N1417"/>
  <c r="H1115"/>
  <c r="H1185" s="1"/>
  <c r="N1115"/>
  <c r="M1115" s="1"/>
  <c r="G5" i="4" l="1"/>
  <c r="G9" s="1"/>
  <c r="G15" s="1"/>
  <c r="G16" s="1"/>
  <c r="N1185" i="7"/>
  <c r="M1417"/>
  <c r="N1487"/>
  <c r="T32" i="39" s="1"/>
  <c r="R1118" i="7"/>
  <c r="M1185"/>
  <c r="H1417"/>
  <c r="H1487" s="1"/>
  <c r="G10" i="4" l="1"/>
  <c r="P32" i="39"/>
  <c r="O32" s="1"/>
  <c r="H5" i="4"/>
  <c r="H9" s="1"/>
  <c r="H10" s="1"/>
  <c r="M1487" i="7"/>
  <c r="R1420"/>
  <c r="C13" i="13"/>
  <c r="S32" i="39"/>
  <c r="H15" i="4" l="1"/>
  <c r="H16" s="1"/>
  <c r="B4" i="13"/>
  <c r="B5"/>
  <c r="G5" s="1"/>
  <c r="B6" l="1"/>
  <c r="G4"/>
  <c r="I5"/>
  <c r="J5" s="1"/>
  <c r="G6" l="1"/>
  <c r="I4"/>
  <c r="I6" s="1"/>
  <c r="K5"/>
  <c r="D26" i="36" s="1"/>
  <c r="P40" i="39" l="1"/>
  <c r="T40"/>
  <c r="J4" i="13"/>
  <c r="K4" s="1"/>
  <c r="E26" i="36"/>
  <c r="D27"/>
  <c r="J6" i="13" l="1"/>
  <c r="G30" i="9"/>
  <c r="F26" i="36"/>
  <c r="S40" i="39"/>
  <c r="T41"/>
  <c r="E27" i="36"/>
  <c r="F27" s="1"/>
  <c r="G27" s="1"/>
  <c r="D28"/>
  <c r="O40" i="39"/>
  <c r="P41"/>
  <c r="D9" i="36"/>
  <c r="K6" i="13"/>
  <c r="E9" i="36" l="1"/>
  <c r="D10"/>
  <c r="G26"/>
  <c r="G31" i="9"/>
  <c r="J30"/>
  <c r="V32" i="2"/>
  <c r="Z32" s="1"/>
  <c r="D29" i="36"/>
  <c r="E28"/>
  <c r="F28" s="1"/>
  <c r="G28" s="1"/>
  <c r="O41" i="39"/>
  <c r="P116"/>
  <c r="S41"/>
  <c r="T116"/>
  <c r="S116" s="1"/>
  <c r="B7" i="13"/>
  <c r="F9" i="36" l="1"/>
  <c r="G28" i="9"/>
  <c r="P118" i="39"/>
  <c r="O116"/>
  <c r="D11" i="36"/>
  <c r="E10"/>
  <c r="F10" s="1"/>
  <c r="G10" s="1"/>
  <c r="D30"/>
  <c r="E29"/>
  <c r="F29" s="1"/>
  <c r="G29" s="1"/>
  <c r="J31" i="9"/>
  <c r="V34" i="2"/>
  <c r="Z34" s="1"/>
  <c r="Z36" s="1"/>
  <c r="T7" i="39" s="1"/>
  <c r="V36" i="2" l="1"/>
  <c r="G29" i="9"/>
  <c r="G9" i="36"/>
  <c r="D12"/>
  <c r="E11"/>
  <c r="F11" s="1"/>
  <c r="G11" s="1"/>
  <c r="V24" i="2"/>
  <c r="Z24" s="1"/>
  <c r="L28" i="9"/>
  <c r="J28"/>
  <c r="E30" i="36"/>
  <c r="F30" s="1"/>
  <c r="G30" s="1"/>
  <c r="D31"/>
  <c r="P129" i="39"/>
  <c r="O118"/>
  <c r="D13" i="36" l="1"/>
  <c r="E12"/>
  <c r="F12" s="1"/>
  <c r="G12" s="1"/>
  <c r="L29" i="9"/>
  <c r="V26" i="2"/>
  <c r="Z26" s="1"/>
  <c r="Z28" s="1"/>
  <c r="T6" i="39" s="1"/>
  <c r="J29" i="9"/>
  <c r="S7" i="39"/>
  <c r="M5" i="13"/>
  <c r="N5" s="1"/>
  <c r="E31" i="36"/>
  <c r="F31" s="1"/>
  <c r="G31" s="1"/>
  <c r="D32"/>
  <c r="P133" i="39"/>
  <c r="O133" s="1"/>
  <c r="O129"/>
  <c r="E13" i="36" l="1"/>
  <c r="F13" s="1"/>
  <c r="G13" s="1"/>
  <c r="D14"/>
  <c r="E32"/>
  <c r="F32" s="1"/>
  <c r="G32" s="1"/>
  <c r="D33"/>
  <c r="V28" i="2"/>
  <c r="Z39"/>
  <c r="T19" i="39" l="1"/>
  <c r="M4" i="13"/>
  <c r="N4" s="1"/>
  <c r="S6" i="39"/>
  <c r="E14" i="36"/>
  <c r="F14" s="1"/>
  <c r="G14" s="1"/>
  <c r="D15"/>
  <c r="E33"/>
  <c r="F33" s="1"/>
  <c r="G33" s="1"/>
  <c r="D34"/>
  <c r="T29" i="39" l="1"/>
  <c r="S19"/>
  <c r="E15" i="36"/>
  <c r="F15" s="1"/>
  <c r="G15" s="1"/>
  <c r="D16"/>
  <c r="E34"/>
  <c r="F34" s="1"/>
  <c r="G34" s="1"/>
  <c r="D35"/>
  <c r="D36" l="1"/>
  <c r="E36" s="1"/>
  <c r="F36" s="1"/>
  <c r="G36" s="1"/>
  <c r="E35"/>
  <c r="F35" s="1"/>
  <c r="G35" s="1"/>
  <c r="T118" i="39"/>
  <c r="S29"/>
  <c r="D17" i="36"/>
  <c r="E16"/>
  <c r="F16" s="1"/>
  <c r="G16" s="1"/>
  <c r="E17" l="1"/>
  <c r="F17" s="1"/>
  <c r="G17" s="1"/>
  <c r="D18"/>
  <c r="S118" i="39"/>
  <c r="T129"/>
  <c r="E18" i="36" l="1"/>
  <c r="F18" s="1"/>
  <c r="G18" s="1"/>
  <c r="D19"/>
  <c r="E19" s="1"/>
  <c r="F19" s="1"/>
  <c r="G19" s="1"/>
  <c r="T133" i="39"/>
  <c r="S133" s="1"/>
  <c r="S129"/>
</calcChain>
</file>

<file path=xl/comments1.xml><?xml version="1.0" encoding="utf-8"?>
<comments xmlns="http://schemas.openxmlformats.org/spreadsheetml/2006/main">
  <authors>
    <author>Jaak Lepik</author>
    <author>Tõnis Tamm</author>
  </authors>
  <commentList>
    <comment ref="I7" authorId="0">
      <text>
        <r>
          <rPr>
            <b/>
            <sz val="8"/>
            <color indexed="81"/>
            <rFont val="Tahoma"/>
            <family val="2"/>
            <charset val="186"/>
          </rPr>
          <t>7 kuu pikkune periood 01.2022 kuni 07.2022.</t>
        </r>
      </text>
    </comment>
    <comment ref="N8" authorId="1">
      <text>
        <r>
          <rPr>
            <sz val="9"/>
            <color indexed="81"/>
            <rFont val="Tahoma"/>
            <family val="2"/>
            <charset val="186"/>
          </rPr>
          <t>Iru veearvesti: 67 506 m</t>
        </r>
        <r>
          <rPr>
            <vertAlign val="superscript"/>
            <sz val="9"/>
            <color indexed="81"/>
            <rFont val="Tahoma"/>
            <family val="2"/>
            <charset val="186"/>
          </rPr>
          <t>3</t>
        </r>
        <r>
          <rPr>
            <sz val="9"/>
            <color indexed="81"/>
            <rFont val="Tahoma"/>
            <family val="2"/>
            <charset val="186"/>
          </rPr>
          <t>;
Kallavere veearvesti: 1 565 m</t>
        </r>
        <r>
          <rPr>
            <vertAlign val="superscript"/>
            <sz val="9"/>
            <color indexed="81"/>
            <rFont val="Tahoma"/>
            <family val="2"/>
            <charset val="186"/>
          </rPr>
          <t>3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9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10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11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12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13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186"/>
          </rPr>
          <t>Tegelik.</t>
        </r>
      </text>
    </comment>
    <comment ref="X24" authorId="1">
      <text>
        <r>
          <rPr>
            <sz val="9"/>
            <color indexed="81"/>
            <rFont val="Tahoma"/>
            <family val="2"/>
            <charset val="186"/>
          </rPr>
          <t>Lisandub Jägala-Joa piirkonna 5 elamuühikut (leibkonnaliikmeid 3 tk/elamuühik).</t>
        </r>
      </text>
    </comment>
    <comment ref="B29" authorId="0">
      <text>
        <r>
          <rPr>
            <sz val="9"/>
            <color indexed="81"/>
            <rFont val="Tahoma"/>
            <family val="2"/>
            <charset val="186"/>
          </rPr>
          <t>Andmed 2021. maj. aasta aruandest.</t>
        </r>
      </text>
    </comment>
    <comment ref="G29" authorId="0">
      <text>
        <r>
          <rPr>
            <sz val="9"/>
            <color indexed="81"/>
            <rFont val="Tahoma"/>
            <family val="2"/>
            <charset val="186"/>
          </rPr>
          <t>Andmed 2022. ja 2023. maj. aasta aruandest.</t>
        </r>
      </text>
    </comment>
    <comment ref="L29" authorId="0">
      <text>
        <r>
          <rPr>
            <sz val="9"/>
            <color indexed="81"/>
            <rFont val="Tahoma"/>
            <family val="2"/>
            <charset val="186"/>
          </rPr>
          <t>Andmed 2023. maj. aasta aruandest.</t>
        </r>
      </text>
    </comment>
    <comment ref="P30" authorId="0">
      <text>
        <r>
          <rPr>
            <b/>
            <sz val="9"/>
            <color indexed="81"/>
            <rFont val="Tahoma"/>
            <family val="2"/>
            <charset val="186"/>
          </rPr>
          <t>2023. maj. aasta aruandes (Lisa 16) on ekslikud andmed. Palun õigeks lugeda siin esiatud summa 683 679 €.</t>
        </r>
      </text>
    </comment>
    <comment ref="X32" authorId="1">
      <text>
        <r>
          <rPr>
            <sz val="9"/>
            <color indexed="81"/>
            <rFont val="Tahoma"/>
            <family val="2"/>
            <charset val="186"/>
          </rPr>
          <t>Lisandub Jägala-Joa piirkonna 5 elamuühikut (leibkonnaliikmeid 3 tk/elamuühik).</t>
        </r>
      </text>
    </comment>
    <comment ref="B37" authorId="0">
      <text>
        <r>
          <rPr>
            <sz val="9"/>
            <color indexed="81"/>
            <rFont val="Tahoma"/>
            <family val="2"/>
            <charset val="186"/>
          </rPr>
          <t>Andmed 2021. maj. aasta aruandest.</t>
        </r>
      </text>
    </comment>
    <comment ref="G37" authorId="0">
      <text>
        <r>
          <rPr>
            <sz val="9"/>
            <color indexed="81"/>
            <rFont val="Tahoma"/>
            <family val="2"/>
            <charset val="186"/>
          </rPr>
          <t>Andmed 2022. ja 2023. maj. aasta aruandest.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186"/>
          </rPr>
          <t>ÕIGE: 2022 aruandes on 633 992 € (Lisa 16);
VALE: 2023 aruandes on 662 638 € (Lisa 16). 
Erinevus 28 646 €.</t>
        </r>
      </text>
    </comment>
    <comment ref="L37" authorId="0">
      <text>
        <r>
          <rPr>
            <sz val="9"/>
            <color indexed="81"/>
            <rFont val="Tahoma"/>
            <family val="2"/>
            <charset val="186"/>
          </rPr>
          <t>Andmed 2023. maj. aasta aruandest.</t>
        </r>
      </text>
    </comment>
    <comment ref="P37" authorId="0">
      <text>
        <r>
          <rPr>
            <b/>
            <sz val="9"/>
            <color indexed="81"/>
            <rFont val="Tahoma"/>
            <family val="2"/>
            <charset val="186"/>
          </rPr>
          <t>2023. maj. aasta aruandes (Lisa 16) sisaldab summa 788 384 € ülereostustasu 51 527 €, mis on siin elimineeritud.</t>
        </r>
      </text>
    </comment>
    <comment ref="P38" authorId="0">
      <text>
        <r>
          <rPr>
            <b/>
            <sz val="9"/>
            <color indexed="81"/>
            <rFont val="Tahoma"/>
            <family val="2"/>
            <charset val="186"/>
          </rPr>
          <t>Maj. aasta aruandes (Lisa 16) on ekslikud andmed.
Palun õigeks lugeda siin esiatud summa 740 074 €.</t>
        </r>
      </text>
    </comment>
    <comment ref="B51" authorId="0">
      <text>
        <r>
          <rPr>
            <sz val="9"/>
            <color indexed="81"/>
            <rFont val="Tahoma"/>
            <family val="2"/>
            <charset val="186"/>
          </rPr>
          <t>Andmed 2021. maj. aasta aruandest.</t>
        </r>
      </text>
    </comment>
    <comment ref="G51" authorId="0">
      <text>
        <r>
          <rPr>
            <sz val="9"/>
            <color indexed="81"/>
            <rFont val="Tahoma"/>
            <family val="2"/>
            <charset val="186"/>
          </rPr>
          <t>Andmed 2022. maj. aasta aruandest.</t>
        </r>
      </text>
    </comment>
    <comment ref="L51" authorId="0">
      <text>
        <r>
          <rPr>
            <sz val="9"/>
            <color indexed="81"/>
            <rFont val="Tahoma"/>
            <family val="2"/>
            <charset val="186"/>
          </rPr>
          <t>Andmed 2023. maj. aasta aruandest.</t>
        </r>
      </text>
    </comment>
  </commentList>
</comments>
</file>

<file path=xl/comments10.xml><?xml version="1.0" encoding="utf-8"?>
<comments xmlns="http://schemas.openxmlformats.org/spreadsheetml/2006/main">
  <authors>
    <author>Jaak Lepik</author>
  </authors>
  <commentList>
    <comment ref="H8" authorId="0">
      <text>
        <r>
          <rPr>
            <sz val="8"/>
            <color indexed="81"/>
            <rFont val="Tahoma"/>
            <family val="2"/>
            <charset val="186"/>
          </rPr>
          <t>Hinnavahet 2022. aastal eelmise otsusega juba kahandati. Teist korda samal aastal ei kahandata.</t>
        </r>
      </text>
    </comment>
    <comment ref="H25" authorId="0">
      <text>
        <r>
          <rPr>
            <sz val="8"/>
            <color indexed="81"/>
            <rFont val="Tahoma"/>
            <family val="2"/>
            <charset val="186"/>
          </rPr>
          <t>Hinnavahet 2022. aastal eelmise otsusega juba kahandati. Teist korda samal aastal ei kahandata.</t>
        </r>
      </text>
    </comment>
  </commentList>
</comments>
</file>

<file path=xl/comments2.xml><?xml version="1.0" encoding="utf-8"?>
<comments xmlns="http://schemas.openxmlformats.org/spreadsheetml/2006/main">
  <authors>
    <author>Tõnis Tamm</author>
    <author>Jaak Lepik</author>
  </authors>
  <commentList>
    <comment ref="N13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MAA 2023; lisa 16; tuletõrjevee võimekuse tasu 278 389 €.</t>
        </r>
      </text>
    </comment>
    <comment ref="R13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Tuletõrjevee võimekuse tagamise tasu 189 248 €</t>
        </r>
      </text>
    </comment>
    <comment ref="N16" authorId="1">
      <text>
        <r>
          <rPr>
            <b/>
            <sz val="9"/>
            <color indexed="81"/>
            <rFont val="Tahoma"/>
            <family val="2"/>
            <charset val="186"/>
          </rPr>
          <t>2023. maj. aasta aruandes 8 784 €.</t>
        </r>
      </text>
    </comment>
    <comment ref="R16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2024.a 5 kuu tegelik x12/5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186"/>
          </rPr>
          <t>2021. maj. aasta aruandes 1 342 385 € (Lisa 16).</t>
        </r>
      </text>
    </comment>
    <comment ref="G19" authorId="1">
      <text>
        <r>
          <rPr>
            <b/>
            <sz val="9"/>
            <color indexed="81"/>
            <rFont val="Tahoma"/>
            <family val="2"/>
            <charset val="186"/>
          </rPr>
          <t>2022. maj. aasta aruandes 1 588 270 € (Lisa 16).</t>
        </r>
      </text>
    </comment>
    <comment ref="K19" authorId="1">
      <text>
        <r>
          <rPr>
            <b/>
            <sz val="9"/>
            <color indexed="81"/>
            <rFont val="Tahoma"/>
            <family val="2"/>
            <charset val="186"/>
          </rPr>
          <t>2023. maj. aasta aruandes 1 970 968 € (Lisa 16).</t>
        </r>
      </text>
    </comment>
    <comment ref="C20" authorId="1">
      <text>
        <r>
          <rPr>
            <b/>
            <sz val="9"/>
            <color indexed="81"/>
            <rFont val="Tahoma"/>
            <family val="2"/>
            <charset val="186"/>
          </rPr>
          <t>2021. maj. aasta aruandes 2 082 551 € (Lisa 17).</t>
        </r>
      </text>
    </comment>
    <comment ref="G20" authorId="1">
      <text>
        <r>
          <rPr>
            <b/>
            <sz val="9"/>
            <color indexed="81"/>
            <rFont val="Tahoma"/>
            <family val="2"/>
            <charset val="186"/>
          </rPr>
          <t>2022. maj. aasta aruandes 393 457 € (Lisa 17).</t>
        </r>
      </text>
    </comment>
    <comment ref="K20" authorId="1">
      <text>
        <r>
          <rPr>
            <b/>
            <sz val="9"/>
            <color indexed="81"/>
            <rFont val="Tahoma"/>
            <family val="2"/>
            <charset val="186"/>
          </rPr>
          <t>2023. maj. aasta aruandes 4 390 € (Lisa 17).</t>
        </r>
      </text>
    </comment>
    <comment ref="R32" authorId="1">
      <text>
        <r>
          <rPr>
            <b/>
            <sz val="9"/>
            <color indexed="81"/>
            <rFont val="Tahoma"/>
            <family val="2"/>
            <charset val="186"/>
          </rPr>
          <t>Üle loa vee erikasutus.</t>
        </r>
      </text>
    </comment>
    <comment ref="V32" authorId="1">
      <text>
        <r>
          <rPr>
            <b/>
            <sz val="9"/>
            <color indexed="81"/>
            <rFont val="Tahoma"/>
            <family val="2"/>
            <charset val="186"/>
          </rPr>
          <t>Üle loa vee erikasutus.</t>
        </r>
      </text>
    </comment>
    <comment ref="F33" authorId="1">
      <text>
        <r>
          <rPr>
            <b/>
            <sz val="9"/>
            <color indexed="81"/>
            <rFont val="Tahoma"/>
            <family val="2"/>
            <charset val="186"/>
          </rPr>
          <t>Üle loa saastetasud.</t>
        </r>
      </text>
    </comment>
    <comment ref="J33" authorId="1">
      <text>
        <r>
          <rPr>
            <b/>
            <sz val="9"/>
            <color indexed="81"/>
            <rFont val="Tahoma"/>
            <family val="2"/>
            <charset val="186"/>
          </rPr>
          <t>Üle loa saastetasud.</t>
        </r>
      </text>
    </comment>
    <comment ref="N33" authorId="1">
      <text>
        <r>
          <rPr>
            <b/>
            <sz val="9"/>
            <color indexed="81"/>
            <rFont val="Tahoma"/>
            <family val="2"/>
            <charset val="186"/>
          </rPr>
          <t>Üle loa saastetasud.</t>
        </r>
      </text>
    </comment>
    <comment ref="R33" authorId="1">
      <text>
        <r>
          <rPr>
            <b/>
            <sz val="9"/>
            <color indexed="81"/>
            <rFont val="Tahoma"/>
            <family val="2"/>
            <charset val="186"/>
          </rPr>
          <t>Üle loa ja Neeme purgla purgimise saastetasud.</t>
        </r>
      </text>
    </comment>
    <comment ref="V33" authorId="1">
      <text>
        <r>
          <rPr>
            <b/>
            <sz val="9"/>
            <color indexed="81"/>
            <rFont val="Tahoma"/>
            <family val="2"/>
            <charset val="186"/>
          </rPr>
          <t>Üle loa ja Neeme purgla purgimise saastetasud.</t>
        </r>
      </text>
    </comment>
    <comment ref="N38" authorId="1">
      <text>
        <r>
          <rPr>
            <sz val="9"/>
            <color indexed="81"/>
            <rFont val="Tahoma"/>
            <family val="2"/>
            <charset val="186"/>
          </rPr>
          <t xml:space="preserve">Loo aleviku purglasse purgitud ning isevoolselt koos Loo aleviku ühiskanalisatsiooniga AS-ile Tallinna Vesi puhastamiseks suunatud reoveeteenuse ostukulu.
</t>
        </r>
        <r>
          <rPr>
            <i/>
            <sz val="9"/>
            <color indexed="81"/>
            <rFont val="Tahoma"/>
            <family val="2"/>
            <charset val="186"/>
          </rPr>
          <t>valem: Tallinna Veele makstav reovee ärajuhtimise ja puhastamise hind x Loo purglasse vastuvõetud reovee kogus.</t>
        </r>
      </text>
    </comment>
    <comment ref="R38" authorId="1">
      <text>
        <r>
          <rPr>
            <sz val="9"/>
            <color indexed="81"/>
            <rFont val="Tahoma"/>
            <family val="2"/>
            <charset val="186"/>
          </rPr>
          <t xml:space="preserve">Loo aleviku purglasse purgitud ning isevoolselt koos Loo aleviku ühiskanalisatsiooniga AS-ile Tallinna Vesi puhastamiseks suunatud reoveeteenuse ostukulu.
</t>
        </r>
        <r>
          <rPr>
            <i/>
            <sz val="9"/>
            <color indexed="81"/>
            <rFont val="Tahoma"/>
            <family val="2"/>
            <charset val="186"/>
          </rPr>
          <t>valem: Tallinna Veele makstav reovee ärajuhtimise ja puhastamise hind x Loo purglasse vastuvõetud reovee kogus.</t>
        </r>
      </text>
    </comment>
    <comment ref="V38" authorId="1">
      <text>
        <r>
          <rPr>
            <sz val="9"/>
            <color indexed="81"/>
            <rFont val="Tahoma"/>
            <family val="2"/>
            <charset val="186"/>
          </rPr>
          <t xml:space="preserve">Loo aleviku purglasse purgitud ning isevoolselt koos Loo aleviku ühiskanalisatsiooniga AS-ile Tallinna Vesi puhastamiseks suunatud reoveeteenuse ostukulu.
</t>
        </r>
        <r>
          <rPr>
            <i/>
            <sz val="9"/>
            <color indexed="81"/>
            <rFont val="Tahoma"/>
            <family val="2"/>
            <charset val="186"/>
          </rPr>
          <t>valem: Tallinna Veele makstav reovee ärajuhtimise ja puhastamise hind x Loo purglasse vastuvõetud reovee kogus.</t>
        </r>
      </text>
    </comment>
    <comment ref="R43" authorId="1">
      <text>
        <r>
          <rPr>
            <b/>
            <sz val="9"/>
            <color indexed="81"/>
            <rFont val="Tahoma"/>
            <family val="2"/>
            <charset val="186"/>
          </rPr>
          <t>Purgimise ja muu tegevuse elekter.</t>
        </r>
      </text>
    </comment>
    <comment ref="V43" authorId="1">
      <text>
        <r>
          <rPr>
            <b/>
            <sz val="9"/>
            <color indexed="81"/>
            <rFont val="Tahoma"/>
            <family val="2"/>
            <charset val="186"/>
          </rPr>
          <t>Purgimise ja muu tegevuse elekter.</t>
        </r>
      </text>
    </comment>
    <comment ref="R44" authorId="1">
      <text>
        <r>
          <rPr>
            <b/>
            <sz val="9"/>
            <color indexed="81"/>
            <rFont val="Tahoma"/>
            <family val="2"/>
            <charset val="186"/>
          </rPr>
          <t>Purgimise kemikaalid.</t>
        </r>
      </text>
    </comment>
    <comment ref="V44" authorId="1">
      <text>
        <r>
          <rPr>
            <b/>
            <sz val="9"/>
            <color indexed="81"/>
            <rFont val="Tahoma"/>
            <family val="2"/>
            <charset val="186"/>
          </rPr>
          <t>Purgimise kemikaalid.</t>
        </r>
      </text>
    </comment>
  </commentList>
</comments>
</file>

<file path=xl/comments3.xml><?xml version="1.0" encoding="utf-8"?>
<comments xmlns="http://schemas.openxmlformats.org/spreadsheetml/2006/main">
  <authors>
    <author>Jaak Lepik</author>
    <author>Windowsi kasutaja</author>
    <author>Tõnis Tamm</author>
    <author>Kadri Kaljaste</author>
  </authors>
  <commentList>
    <comment ref="B6" authorId="0">
      <text>
        <r>
          <rPr>
            <sz val="8"/>
            <color indexed="81"/>
            <rFont val="Tahoma"/>
            <family val="2"/>
            <charset val="186"/>
          </rPr>
          <t>Nt erikasutusõigusega maksustamata alla 5 m</t>
        </r>
        <r>
          <rPr>
            <vertAlign val="superscript"/>
            <sz val="8"/>
            <color indexed="81"/>
            <rFont val="Tahoma"/>
            <family val="2"/>
            <charset val="186"/>
          </rPr>
          <t>3</t>
        </r>
        <r>
          <rPr>
            <sz val="8"/>
            <color indexed="81"/>
            <rFont val="Tahoma"/>
            <family val="2"/>
            <charset val="186"/>
          </rPr>
          <t xml:space="preserve"> päevatarbega puurkaevud.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B8" authorId="0">
      <text>
        <r>
          <rPr>
            <sz val="9"/>
            <color indexed="81"/>
            <rFont val="Tahoma"/>
            <family val="2"/>
            <charset val="186"/>
          </rPr>
          <t xml:space="preserve">Omatarbevesi on võetud vee kogus, mida kasutatakse vee-ettevõtja poolt kaasnevate hooldustööde läbiviimisel. Omatarbevee hulka ei arvestata tuletõrjeks võetavat  vett ega võetud vee kogust, mida vee-ettevõtja kasutab muuks otstarbeks (nt kontoriruumides).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B18" authorId="0">
      <text>
        <r>
          <rPr>
            <sz val="8"/>
            <color indexed="81"/>
            <rFont val="Tahoma"/>
            <family val="2"/>
            <charset val="186"/>
          </rPr>
          <t>Aasta lõpuks arvel olevate rekonstrueeritud ja uute, kuni 10. a vanade, torustike kogupikkus.</t>
        </r>
      </text>
    </comment>
    <comment ref="B35" authorId="0">
      <text>
        <r>
          <rPr>
            <sz val="8"/>
            <color indexed="81"/>
            <rFont val="Tahoma"/>
            <family val="2"/>
            <charset val="186"/>
          </rPr>
          <t>Aasta lõpuks arvel olevate rekonstrueeritud ja uute, kuni 10. a vanade, torustike kogupikkus.</t>
        </r>
      </text>
    </comment>
    <comment ref="I59" authorId="0">
      <text>
        <r>
          <rPr>
            <b/>
            <sz val="9"/>
            <color indexed="81"/>
            <rFont val="Tahoma"/>
            <family val="2"/>
            <charset val="186"/>
          </rPr>
          <t>Sealhulgas purgimine.</t>
        </r>
      </text>
    </comment>
    <comment ref="B61" authorId="1">
      <text>
        <r>
          <rPr>
            <sz val="9"/>
            <color indexed="81"/>
            <rFont val="Tahoma"/>
            <family val="2"/>
            <charset val="186"/>
          </rPr>
          <t>Summa tarbijatele osutatavast reovee ärajuhtimise ja puhastamise teenuse mahust, mis juhitakse konkreetsesse reoveepuhastisse.</t>
        </r>
      </text>
    </comment>
    <comment ref="B75" authorId="0">
      <text>
        <r>
          <rPr>
            <b/>
            <sz val="9"/>
            <color indexed="81"/>
            <rFont val="Tahoma"/>
            <family val="2"/>
            <charset val="186"/>
          </rPr>
          <t>Purglasse purgib nii loo Vesi kui ka teised vedajad.
Suunatakse isevoolselt koos Loo aleviku ühiskanalisatsiooniga puhastamiseks AS-ile Tallinna Vesi.</t>
        </r>
      </text>
    </comment>
    <comment ref="B76" authorId="0">
      <text>
        <r>
          <rPr>
            <b/>
            <sz val="9"/>
            <color indexed="81"/>
            <rFont val="Tahoma"/>
            <family val="2"/>
            <charset val="186"/>
          </rPr>
          <t>Purglasse purgib ainult Loo Vesi.
Suunatakse Neeme reoveepuhastisse.</t>
        </r>
      </text>
    </comment>
    <comment ref="C7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Rakendatakse purgimise </t>
        </r>
        <r>
          <rPr>
            <b/>
            <u/>
            <sz val="9"/>
            <color indexed="81"/>
            <rFont val="Tahoma"/>
            <family val="2"/>
            <charset val="186"/>
          </rPr>
          <t>elektrikulude</t>
        </r>
        <r>
          <rPr>
            <b/>
            <sz val="9"/>
            <color indexed="81"/>
            <rFont val="Tahoma"/>
            <family val="2"/>
            <charset val="186"/>
          </rPr>
          <t xml:space="preserve"> eraldamisel.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Rakendatakse purgimise </t>
        </r>
        <r>
          <rPr>
            <b/>
            <u/>
            <sz val="9"/>
            <color indexed="81"/>
            <rFont val="Tahoma"/>
            <family val="2"/>
            <charset val="186"/>
          </rPr>
          <t>saastetasude</t>
        </r>
        <r>
          <rPr>
            <b/>
            <sz val="9"/>
            <color indexed="81"/>
            <rFont val="Tahoma"/>
            <family val="2"/>
            <charset val="186"/>
          </rPr>
          <t xml:space="preserve"> ning </t>
        </r>
        <r>
          <rPr>
            <b/>
            <u/>
            <sz val="9"/>
            <color indexed="81"/>
            <rFont val="Tahoma"/>
            <family val="2"/>
            <charset val="186"/>
          </rPr>
          <t>kemikaalikulude</t>
        </r>
        <r>
          <rPr>
            <b/>
            <sz val="9"/>
            <color indexed="81"/>
            <rFont val="Tahoma"/>
            <family val="2"/>
            <charset val="186"/>
          </rPr>
          <t xml:space="preserve"> eraldamisel.</t>
        </r>
      </text>
    </comment>
    <comment ref="H88" authorId="2">
      <text>
        <r>
          <rPr>
            <b/>
            <sz val="9"/>
            <color indexed="81"/>
            <rFont val="Tahoma"/>
            <family val="2"/>
            <charset val="186"/>
          </rPr>
          <t>Lisandub:</t>
        </r>
        <r>
          <rPr>
            <sz val="9"/>
            <color indexed="81"/>
            <rFont val="Tahoma"/>
            <family val="2"/>
            <charset val="186"/>
          </rPr>
          <t xml:space="preserve"> Uusküla membraanpuhasti.</t>
        </r>
      </text>
    </comment>
    <comment ref="H90" authorId="2">
      <text>
        <r>
          <rPr>
            <b/>
            <sz val="9"/>
            <color indexed="81"/>
            <rFont val="Tahoma"/>
            <family val="2"/>
            <charset val="186"/>
          </rPr>
          <t>Lisandub:</t>
        </r>
        <r>
          <rPr>
            <sz val="9"/>
            <color indexed="81"/>
            <rFont val="Tahoma"/>
            <family val="2"/>
            <charset val="186"/>
          </rPr>
          <t xml:space="preserve">
Kõrre piirkond 10 elamuühikut.</t>
        </r>
      </text>
    </comment>
    <comment ref="H92" authorId="2">
      <text>
        <r>
          <rPr>
            <b/>
            <sz val="9"/>
            <color indexed="81"/>
            <rFont val="Tahoma"/>
            <family val="2"/>
            <charset val="186"/>
          </rPr>
          <t>Lisandub:</t>
        </r>
        <r>
          <rPr>
            <sz val="9"/>
            <color indexed="81"/>
            <rFont val="Tahoma"/>
            <family val="2"/>
            <charset val="186"/>
          </rPr>
          <t xml:space="preserve">
Kõrre piirkond 10 elamuühikut.</t>
        </r>
      </text>
    </comment>
    <comment ref="B102" authorId="3">
      <text>
        <r>
          <rPr>
            <sz val="9"/>
            <color indexed="81"/>
            <rFont val="Tahoma"/>
            <family val="2"/>
            <charset val="186"/>
          </rPr>
          <t>Sh nõukogu liikmete arv, mis tuleb taandada täistööajale.</t>
        </r>
      </text>
    </comment>
  </commentList>
</comments>
</file>

<file path=xl/comments4.xml><?xml version="1.0" encoding="utf-8"?>
<comments xmlns="http://schemas.openxmlformats.org/spreadsheetml/2006/main">
  <authors>
    <author>Jaak Lepik</author>
  </authors>
  <commentList>
    <comment ref="B8" authorId="0">
      <text>
        <r>
          <rPr>
            <sz val="8"/>
            <color indexed="81"/>
            <rFont val="Tahoma"/>
            <family val="2"/>
            <charset val="186"/>
          </rPr>
          <t xml:space="preserve">3/4 kanal ja 1/4 vesi.
</t>
        </r>
      </text>
    </comment>
    <comment ref="B9" authorId="0">
      <text>
        <r>
          <rPr>
            <sz val="8"/>
            <color indexed="81"/>
            <rFont val="Tahoma"/>
            <family val="2"/>
            <charset val="186"/>
          </rPr>
          <t xml:space="preserve">1/2 kanal ja 1/2 vesi.
</t>
        </r>
      </text>
    </comment>
    <comment ref="B10" authorId="0">
      <text>
        <r>
          <rPr>
            <sz val="8"/>
            <color indexed="81"/>
            <rFont val="Tahoma"/>
            <family val="2"/>
            <charset val="186"/>
          </rPr>
          <t xml:space="preserve">1/2 kanal ja 1/2 vesi.
</t>
        </r>
      </text>
    </comment>
    <comment ref="B25" authorId="0">
      <text>
        <r>
          <rPr>
            <sz val="8"/>
            <color indexed="81"/>
            <rFont val="Tahoma"/>
            <family val="2"/>
            <charset val="186"/>
          </rPr>
          <t xml:space="preserve">1/2 kanal ja 1/2 vesi.
</t>
        </r>
      </text>
    </comment>
    <comment ref="B44" authorId="0">
      <text>
        <r>
          <rPr>
            <sz val="8"/>
            <color indexed="81"/>
            <rFont val="Tahoma"/>
            <family val="2"/>
            <charset val="186"/>
          </rPr>
          <t>60%  kanal ja 40% vesi.</t>
        </r>
      </text>
    </comment>
    <comment ref="B48" authorId="0">
      <text>
        <r>
          <rPr>
            <sz val="8"/>
            <color indexed="81"/>
            <rFont val="Tahoma"/>
            <family val="2"/>
            <charset val="186"/>
          </rPr>
          <t xml:space="preserve">3/4 kanal ja 1/4 vesi.
</t>
        </r>
      </text>
    </comment>
    <comment ref="B49" authorId="0">
      <text>
        <r>
          <rPr>
            <sz val="8"/>
            <color indexed="81"/>
            <rFont val="Tahoma"/>
            <family val="2"/>
            <charset val="186"/>
          </rPr>
          <t xml:space="preserve">1/2 kanal ja 1/2 vesi.
</t>
        </r>
      </text>
    </comment>
    <comment ref="B50" authorId="0">
      <text>
        <r>
          <rPr>
            <sz val="8"/>
            <color indexed="81"/>
            <rFont val="Tahoma"/>
            <family val="2"/>
            <charset val="186"/>
          </rPr>
          <t xml:space="preserve">1/2 kanal ja 1/2 vesi.
</t>
        </r>
      </text>
    </comment>
    <comment ref="B61" authorId="0">
      <text>
        <r>
          <rPr>
            <sz val="8"/>
            <color indexed="81"/>
            <rFont val="Tahoma"/>
            <family val="2"/>
            <charset val="186"/>
          </rPr>
          <t xml:space="preserve">1/2 kanal ja 1/2 vesi.
</t>
        </r>
      </text>
    </comment>
    <comment ref="B84" authorId="0">
      <text>
        <r>
          <rPr>
            <sz val="8"/>
            <color indexed="81"/>
            <rFont val="Tahoma"/>
            <family val="2"/>
            <charset val="186"/>
          </rPr>
          <t>60%  kanal ja 40% vesi.</t>
        </r>
      </text>
    </comment>
    <comment ref="I120" authorId="0">
      <text>
        <r>
          <rPr>
            <sz val="8"/>
            <color indexed="81"/>
            <rFont val="Tahoma"/>
            <family val="2"/>
            <charset val="186"/>
          </rPr>
          <t>Eristus lõpetamata ehitise kohta esitatakse vaid hinna kooskõlastamise aasta kohta.</t>
        </r>
      </text>
    </comment>
  </commentList>
</comments>
</file>

<file path=xl/comments5.xml><?xml version="1.0" encoding="utf-8"?>
<comments xmlns="http://schemas.openxmlformats.org/spreadsheetml/2006/main">
  <authors>
    <author>Tõnis Tamm</author>
    <author>Jaak Lepik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11.11.2024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 1654 € (ettevõtte vahenditest)</t>
        </r>
      </text>
    </comment>
    <comment ref="G10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26.okt hinnang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 1654 € (ettevõtte vahenditest)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10.11.2024</t>
        </r>
      </text>
    </comment>
    <comment ref="AE14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10.11.2024</t>
        </r>
      </text>
    </comment>
    <comment ref="BC14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10.11.2024</t>
        </r>
      </text>
    </comment>
    <comment ref="AU15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AU16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L17" authorId="1">
      <text>
        <r>
          <rPr>
            <b/>
            <sz val="9"/>
            <color indexed="81"/>
            <rFont val="Tahoma"/>
            <family val="2"/>
            <charset val="186"/>
          </rPr>
          <t>2019. maj. aasta aruandes 170 178 €.</t>
        </r>
      </text>
    </comment>
    <comment ref="X17" authorId="1">
      <text>
        <r>
          <rPr>
            <b/>
            <sz val="9"/>
            <color indexed="81"/>
            <rFont val="Tahoma"/>
            <family val="2"/>
            <charset val="186"/>
          </rPr>
          <t>2020. maj. aasta aruandes 237 225 €.</t>
        </r>
      </text>
    </comment>
    <comment ref="AJ17" authorId="1">
      <text>
        <r>
          <rPr>
            <b/>
            <sz val="9"/>
            <color indexed="81"/>
            <rFont val="Tahoma"/>
            <family val="2"/>
            <charset val="186"/>
          </rPr>
          <t>2021. maj. aasta aruandes 274 860 €.</t>
        </r>
      </text>
    </comment>
    <comment ref="AV17" authorId="1">
      <text>
        <r>
          <rPr>
            <b/>
            <sz val="9"/>
            <color indexed="81"/>
            <rFont val="Tahoma"/>
            <family val="2"/>
            <charset val="186"/>
          </rPr>
          <t>2022. maj. aasta aruandes 411 055 €.</t>
        </r>
      </text>
    </comment>
    <comment ref="BH17" authorId="1">
      <text>
        <r>
          <rPr>
            <b/>
            <sz val="9"/>
            <color indexed="81"/>
            <rFont val="Tahoma"/>
            <family val="2"/>
            <charset val="186"/>
          </rPr>
          <t>2023. maj. aasta aruandes 453 788 €.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186"/>
          </rPr>
          <t>Loo Vesi, 12.01.2025: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T19" authorId="0">
      <text>
        <r>
          <rPr>
            <b/>
            <sz val="9"/>
            <color indexed="81"/>
            <rFont val="Tahoma"/>
            <family val="2"/>
            <charset val="186"/>
          </rPr>
          <t>Loo Vesi, 12.01.2025: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AF19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AR19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BD19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BP19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CB19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186"/>
          </rPr>
          <t>Loo Vesi, 12.01.2025: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 82,71 €/a</t>
        </r>
      </text>
    </comment>
    <comment ref="T20" authorId="0">
      <text>
        <r>
          <rPr>
            <b/>
            <sz val="9"/>
            <color indexed="81"/>
            <rFont val="Tahoma"/>
            <family val="2"/>
            <charset val="186"/>
          </rPr>
          <t>Loo Vesi, 12.01.2025: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 82,71 €/a</t>
        </r>
      </text>
    </comment>
    <comment ref="AF20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AR20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BD20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BP20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  <comment ref="CB20" authorId="0">
      <text>
        <r>
          <rPr>
            <b/>
            <sz val="9"/>
            <color indexed="81"/>
            <rFont val="Tahoma"/>
            <family val="2"/>
            <charset val="186"/>
          </rPr>
          <t>Loo Vesi, 30.12.2024:</t>
        </r>
        <r>
          <rPr>
            <sz val="9"/>
            <color indexed="81"/>
            <rFont val="Tahoma"/>
            <family val="2"/>
            <charset val="186"/>
          </rPr>
          <t xml:space="preserve">
Neeme purgimisteenusele jaotatud põhivara</t>
        </r>
      </text>
    </comment>
  </commentList>
</comments>
</file>

<file path=xl/comments6.xml><?xml version="1.0" encoding="utf-8"?>
<comments xmlns="http://schemas.openxmlformats.org/spreadsheetml/2006/main">
  <authors>
    <author>Jaak Lepik</author>
  </authors>
  <commentList>
    <comment ref="G3" authorId="0">
      <text>
        <r>
          <rPr>
            <b/>
            <sz val="8"/>
            <color indexed="81"/>
            <rFont val="Tahoma"/>
            <family val="2"/>
            <charset val="186"/>
          </rPr>
          <t>Tasumäärad: keskkonnatasude seadus
https://www.riigiteataja.ee/akt/117122010040?leiaKehtiv
Saastetasude määrad vt § 20.
Vee erikasutuse hinnad vt § 10 Vee erikasutusõiguse tasu ja sealt edasi Valitsuse määrus "Vee erikasutusõiguse tasumäärad veevõtu eest veekogust või põhjaveekihist".</t>
        </r>
      </text>
    </comment>
    <comment ref="L3" authorId="0">
      <text>
        <r>
          <rPr>
            <sz val="8"/>
            <color indexed="81"/>
            <rFont val="Tahoma"/>
            <family val="2"/>
            <charset val="186"/>
          </rPr>
          <t>Nõuetekohasuse koef ehk saastetasu vähendamise koef.</t>
        </r>
      </text>
    </comment>
    <comment ref="O4" authorId="0">
      <text>
        <r>
          <rPr>
            <b/>
            <sz val="8"/>
            <color indexed="81"/>
            <rFont val="Tahoma"/>
            <family val="2"/>
            <charset val="186"/>
          </rPr>
          <t xml:space="preserve">Keskkonnatasude seadus.
§ 24. </t>
        </r>
        <r>
          <rPr>
            <sz val="8"/>
            <color indexed="81"/>
            <rFont val="Tahoma"/>
            <family val="2"/>
            <charset val="186"/>
          </rPr>
          <t xml:space="preserve">Saastetasu kõrgendatud määrad saasteainete heitmisel veekogusse, põhjavette ja pinnasesse lubatust suuremas koguses ja kontsentratsioonis.
</t>
        </r>
        <r>
          <rPr>
            <b/>
            <sz val="8"/>
            <color indexed="81"/>
            <rFont val="Tahoma"/>
            <family val="2"/>
            <charset val="186"/>
          </rPr>
          <t xml:space="preserve">§ 29. </t>
        </r>
        <r>
          <rPr>
            <sz val="8"/>
            <color indexed="81"/>
            <rFont val="Tahoma"/>
            <family val="2"/>
            <charset val="186"/>
          </rPr>
          <t>Keskkonnatasu kõrgendatud määr veevõtu eest erikasutusloata ja lubatust suuremas koguses.</t>
        </r>
      </text>
    </comment>
    <comment ref="P4" authorId="0">
      <text>
        <r>
          <rPr>
            <b/>
            <sz val="8"/>
            <color indexed="81"/>
            <rFont val="Tahoma"/>
            <family val="2"/>
            <charset val="186"/>
          </rPr>
          <t xml:space="preserve">Keskkonnatasude seadus.
§ 26. </t>
        </r>
        <r>
          <rPr>
            <sz val="8"/>
            <color indexed="81"/>
            <rFont val="Tahoma"/>
            <family val="2"/>
            <charset val="186"/>
          </rPr>
          <t xml:space="preserve">Saastetasu kõrgendatud määrad saasteainete heitmisel keskkonda ja jäätmete kõrvaldamisel ilma loata.
</t>
        </r>
        <r>
          <rPr>
            <b/>
            <sz val="8"/>
            <color indexed="81"/>
            <rFont val="Tahoma"/>
            <family val="2"/>
            <charset val="186"/>
          </rPr>
          <t xml:space="preserve">§ 29. </t>
        </r>
        <r>
          <rPr>
            <sz val="8"/>
            <color indexed="81"/>
            <rFont val="Tahoma"/>
            <family val="2"/>
            <charset val="186"/>
          </rPr>
          <t>Keskkonnatasu kõrgendatud määr veevõtu eest erikasutusloata ja lubatust suuremas koguses.</t>
        </r>
      </text>
    </comment>
    <comment ref="Q4" authorId="0">
      <text>
        <r>
          <rPr>
            <sz val="8"/>
            <color indexed="81"/>
            <rFont val="Tahoma"/>
            <family val="2"/>
            <charset val="186"/>
          </rPr>
          <t>Andmed saastetasu asendamise lepingust (kui on Keskkonnaministeeriumiga tehtud).</t>
        </r>
      </text>
    </comment>
    <comment ref="G187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216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246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273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474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504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536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566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770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802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834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866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1069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1102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1135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G1168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F1189" authorId="0">
      <text>
        <r>
          <rPr>
            <b/>
            <sz val="8"/>
            <color indexed="81"/>
            <rFont val="Tahoma"/>
            <family val="2"/>
            <charset val="186"/>
          </rPr>
          <t>Aastate 2022-2024 keskmine.</t>
        </r>
      </text>
    </comment>
    <comment ref="F1354" authorId="0">
      <text>
        <r>
          <rPr>
            <b/>
            <sz val="8"/>
            <color indexed="81"/>
            <rFont val="Tahoma"/>
            <family val="2"/>
            <charset val="186"/>
          </rPr>
          <t xml:space="preserve">Väljapumbatud veemahud (vee erikasutus) 2024 korrutatud 2025. aasta veemüügi mahumuutusega võrreldes 2024. aastaga. </t>
        </r>
      </text>
    </comment>
    <comment ref="I1360" authorId="0">
      <text>
        <r>
          <rPr>
            <b/>
            <sz val="9"/>
            <color indexed="81"/>
            <rFont val="Tahoma"/>
            <family val="2"/>
            <charset val="186"/>
          </rPr>
          <t>Erandlik.</t>
        </r>
      </text>
    </comment>
    <comment ref="G1371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I1393" authorId="0">
      <text>
        <r>
          <rPr>
            <b/>
            <sz val="9"/>
            <color indexed="81"/>
            <rFont val="Tahoma"/>
            <family val="2"/>
            <charset val="186"/>
          </rPr>
          <t>Erandlik.</t>
        </r>
      </text>
    </comment>
    <comment ref="G1404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I1426" authorId="0">
      <text>
        <r>
          <rPr>
            <b/>
            <sz val="9"/>
            <color indexed="81"/>
            <rFont val="Tahoma"/>
            <family val="2"/>
            <charset val="186"/>
          </rPr>
          <t>Erandlik.</t>
        </r>
      </text>
    </comment>
    <comment ref="G1437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  <comment ref="I1459" authorId="0">
      <text>
        <r>
          <rPr>
            <b/>
            <sz val="9"/>
            <color indexed="81"/>
            <rFont val="Tahoma"/>
            <family val="2"/>
            <charset val="186"/>
          </rPr>
          <t>Erandlik.</t>
        </r>
      </text>
    </comment>
    <comment ref="G1470" authorId="0">
      <text>
        <r>
          <rPr>
            <sz val="9"/>
            <color indexed="81"/>
            <rFont val="Tahoma"/>
            <family val="2"/>
            <charset val="186"/>
          </rPr>
          <t>Tehnoloogiline vesi.</t>
        </r>
      </text>
    </comment>
  </commentList>
</comments>
</file>

<file path=xl/comments7.xml><?xml version="1.0" encoding="utf-8"?>
<comments xmlns="http://schemas.openxmlformats.org/spreadsheetml/2006/main">
  <authors>
    <author>Jaak Lepik</author>
    <author>Kasutaja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186"/>
          </rPr>
          <t>V - vesi;
R - reovesi;
M- muu tegevus.</t>
        </r>
      </text>
    </comment>
    <comment ref="AR3" authorId="0">
      <text>
        <r>
          <rPr>
            <b/>
            <sz val="8"/>
            <color indexed="81"/>
            <rFont val="Tahoma"/>
            <family val="2"/>
            <charset val="186"/>
          </rPr>
          <t>Elektrienergia hankeleping Alexela AS-ga. Hind börsihind + 2,14 €/MWh + km. Lepinguperiood 01.07.2024-30.06.2025.</t>
        </r>
      </text>
    </comment>
    <comment ref="AU3" authorId="0">
      <text>
        <r>
          <rPr>
            <b/>
            <sz val="8"/>
            <color indexed="81"/>
            <rFont val="Tahoma"/>
            <family val="2"/>
            <charset val="186"/>
          </rPr>
          <t>Prognoos koostatud võrgutasudega:
Elektrilevi: hinnad,  mis kehtivad alates 01.10.2024.
Loo Elekter: hinnad, mis kehtivad alates 01.02.2025.</t>
        </r>
      </text>
    </comment>
    <comment ref="BD4" authorId="0">
      <text>
        <r>
          <rPr>
            <b/>
            <sz val="8"/>
            <color indexed="81"/>
            <rFont val="Tahoma"/>
            <family val="2"/>
            <charset val="186"/>
          </rPr>
          <t>Võrguühenduse läbilaskevõime tasu keskpingel kokkulepitud läbilaskevõime (kilovatt) alusel selle 630 kW ületava osa eest.</t>
        </r>
      </text>
    </comment>
    <comment ref="BE4" authorId="0">
      <text>
        <r>
          <rPr>
            <b/>
            <sz val="8"/>
            <color indexed="81"/>
            <rFont val="Tahoma"/>
            <family val="2"/>
            <charset val="186"/>
          </rPr>
          <t>Võrguühenduse läbilaskevõime tasu madalpingel kokkulepitud läbilaskevõime (amper) alusel.</t>
        </r>
      </text>
    </comment>
    <comment ref="BI4" authorId="0">
      <text>
        <r>
          <rPr>
            <b/>
            <sz val="8"/>
            <color indexed="81"/>
            <rFont val="Tahoma"/>
            <family val="2"/>
            <charset val="186"/>
          </rPr>
          <t>Kui hinnapakett sisaldab kasutusvõimsust, siis võrguühenduse kasutusvõimsuse tasu esitatakse liitumispunkti kalendrikuus mõõdetud maksima</t>
        </r>
        <r>
          <rPr>
            <b/>
            <sz val="9"/>
            <color indexed="81"/>
            <rFont val="Tahoma"/>
            <family val="2"/>
            <charset val="186"/>
          </rPr>
          <t xml:space="preserve">alse </t>
        </r>
        <r>
          <rPr>
            <b/>
            <sz val="8"/>
            <color indexed="81"/>
            <rFont val="Tahoma"/>
            <family val="2"/>
            <charset val="186"/>
          </rPr>
          <t>kasutusvõimsuse alusel. Kasutusvõimsus on tunni keskmine aktiivvõimsus.</t>
        </r>
      </text>
    </comment>
    <comment ref="BL4" authorId="0">
      <text>
        <r>
          <rPr>
            <b/>
            <sz val="8"/>
            <color indexed="81"/>
            <rFont val="Tahoma"/>
            <family val="2"/>
            <charset val="186"/>
          </rPr>
          <t>Arvutusvalem:
+ elektri põhitarbimine*elektrienergia põhihind
+ elektri päevatarbimine*elektrienergia päevahind
+ elektri öötarbimine*elektrienergia ööhind
+ elektritarbimine kokku*võrguteenuse tavahind põhi
+ (elektri päevatarbimine*võrguteenuse tavahind päev)*päev % tavaaeg
+ (elektri päevatarbimine*võrguteenuse tipuhind päev)*päev % tipuaeg
+ (elektri öötarbimine*võrguteenuse tavahind öö ja puhkepäev)*öö ja puhkepäev % tavaaeg
+ (elektri öötarbimine*võrguteenuse tipuhind öö ja puhkepäev)*öö ja puhkepäev % tipuaeg
+ võrguühenduse läbilaskevõime kuus (kW)*12
+ võrguühenduse läbilaskevõime kuus (A)*12
+ võrguühenduse kuutasu*12
+ reaktiivenergia tarbimine*reaktiivenergia tarbimise hind
+ reaktiivenergia võrku andmine*reaktiivenergia võrku andmise hind
+ kasutusvõimsus aastas*kasutusvõimuse hind
+ taastuvenergia tasu*elektritarbimine kokku
+ elektriaktsiis*elektritarbimine kokku</t>
        </r>
      </text>
    </comment>
    <comment ref="BO7" authorId="0">
      <text>
        <r>
          <rPr>
            <b/>
            <sz val="9"/>
            <color indexed="81"/>
            <rFont val="Tahoma"/>
            <family val="2"/>
            <charset val="186"/>
          </rPr>
          <t>Neeme reoveepuhasti purgimise elekter.</t>
        </r>
      </text>
    </comment>
    <comment ref="E13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01.03.2021.</t>
        </r>
      </text>
    </comment>
    <comment ref="E16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14.10.2021. Tarbimine algas 11.2021.</t>
        </r>
      </text>
    </comment>
    <comment ref="E18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05.06.2024. Tarbimine algas 07.2024.</t>
        </r>
      </text>
    </comment>
    <comment ref="AL18" authorId="0">
      <text>
        <r>
          <rPr>
            <b/>
            <sz val="9"/>
            <color indexed="81"/>
            <rFont val="Tahoma"/>
            <family val="2"/>
            <charset val="186"/>
          </rPr>
          <t>Erandlik valem. Aastatarbimise prognoosi alus 2024. aasta juuli-detsember tarbimine (6 kuud).</t>
        </r>
      </text>
    </comment>
    <comment ref="AM18" authorId="0">
      <text>
        <r>
          <rPr>
            <b/>
            <sz val="9"/>
            <color indexed="81"/>
            <rFont val="Tahoma"/>
            <family val="2"/>
            <charset val="186"/>
          </rPr>
          <t>Erandlik valem. Aastatarbimise prognoosi alus 2024. aasta juuli-detsember tarbimine (6 kuud).</t>
        </r>
      </text>
    </comment>
    <comment ref="E39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27.03.2024. Tarbimine algas 04.2024.</t>
        </r>
      </text>
    </comment>
    <comment ref="AL39" authorId="0">
      <text>
        <r>
          <rPr>
            <b/>
            <sz val="9"/>
            <color indexed="81"/>
            <rFont val="Tahoma"/>
            <family val="2"/>
            <charset val="186"/>
          </rPr>
          <t>Erandlik valem. Aastatarbimise prognoosi alus 2024. aasta aprill-detsember tarbimine (9 kuud).</t>
        </r>
      </text>
    </comment>
    <comment ref="AM39" authorId="0">
      <text>
        <r>
          <rPr>
            <b/>
            <sz val="9"/>
            <color indexed="81"/>
            <rFont val="Tahoma"/>
            <family val="2"/>
            <charset val="186"/>
          </rPr>
          <t>Erandlik valem. Aastatarbimise prognoosi alus 2024. aasta aprill-detsember tarbimine (9 kuud).</t>
        </r>
      </text>
    </comment>
    <comment ref="E40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12.01.2022. Tarbimine algas 01.2022.</t>
        </r>
      </text>
    </comment>
    <comment ref="E44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07.06.2023. Tarbimine algas 07.2023.</t>
        </r>
      </text>
    </comment>
    <comment ref="E45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Elektrilevi 25.05.2022.
Võrgulepingu algus
Elering 01.02.2022. 
Tarbimine algas 02.2022.</t>
        </r>
      </text>
    </comment>
    <comment ref="E47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16.12.2021. Tarbimine algas 01.2022.</t>
        </r>
      </text>
    </comment>
    <comment ref="E48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16.12.2021. Tarbimine algas 01.2022.</t>
        </r>
      </text>
    </comment>
    <comment ref="E49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16.12.2021. Tarbimine algas 01.2022.</t>
        </r>
      </text>
    </comment>
    <comment ref="E50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16.12.2021. Tarbimine algas 01.2022.</t>
        </r>
      </text>
    </comment>
    <comment ref="E51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01.10.2021. Tarbimine algas 10.2021.</t>
        </r>
      </text>
    </comment>
    <comment ref="E54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28.08.2023. Tarbimine algas 09.2023.</t>
        </r>
      </text>
    </comment>
    <comment ref="E55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03.08.2022. Tarbimine algas 09.2022.</t>
        </r>
      </text>
    </comment>
    <comment ref="E56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03.08.2022. Tarbimine algas 09.2022.</t>
        </r>
      </text>
    </comment>
    <comment ref="E57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19.05.2022. Tarbimine algas 06.2022.</t>
        </r>
      </text>
    </comment>
    <comment ref="BO57" authorId="0">
      <text>
        <r>
          <rPr>
            <b/>
            <sz val="9"/>
            <color indexed="81"/>
            <rFont val="Tahoma"/>
            <family val="2"/>
            <charset val="186"/>
          </rPr>
          <t>Neeme purgimissõlme elektrikulu.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186"/>
          </rPr>
          <t>Nimi täpsustub.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186"/>
          </rPr>
          <t>Uus liitumispunkt, võetakse üle arendajalt 2025. aastal. EIC-kood selgub ülevõtmisel.</t>
        </r>
      </text>
    </comment>
    <comment ref="H58" authorId="0">
      <text>
        <r>
          <rPr>
            <b/>
            <sz val="9"/>
            <color indexed="81"/>
            <rFont val="Tahoma"/>
            <family val="2"/>
            <charset val="186"/>
          </rPr>
          <t>Eeldatavalt analoogne olemasoleva tarbimiskohaga:
Loo, Jõeääre tee xx pumpla nr 2,
EIC-kood 38ZEE-00452882-W.</t>
        </r>
      </text>
    </comment>
    <comment ref="AK58" authorId="0">
      <text>
        <r>
          <rPr>
            <b/>
            <sz val="9"/>
            <color indexed="81"/>
            <rFont val="Tahoma"/>
            <family val="2"/>
            <charset val="186"/>
          </rPr>
          <t>Erandlik valem.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186"/>
          </rPr>
          <t>Nimi täpsustub.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>Uus liitumispunkt, võetakse üle arendajalt 2025. aastal. EIC-kood selgub ülevõtmisel.</t>
        </r>
      </text>
    </comment>
    <comment ref="H59" authorId="0">
      <text>
        <r>
          <rPr>
            <b/>
            <sz val="9"/>
            <color indexed="81"/>
            <rFont val="Tahoma"/>
            <family val="2"/>
            <charset val="186"/>
          </rPr>
          <t>Eeldatavalt analoogne olemasoleva tarbimiskohaga:
Loo, Jõeääre tee xx pumpla nr 2,
EIC-kood 38ZEE-00452882-W.</t>
        </r>
      </text>
    </comment>
    <comment ref="AK59" authorId="0">
      <text>
        <r>
          <rPr>
            <b/>
            <sz val="9"/>
            <color indexed="81"/>
            <rFont val="Tahoma"/>
            <family val="2"/>
            <charset val="186"/>
          </rPr>
          <t>Erandlik valem.</t>
        </r>
      </text>
    </comment>
    <comment ref="C60" authorId="0">
      <text>
        <r>
          <rPr>
            <b/>
            <sz val="9"/>
            <color indexed="81"/>
            <rFont val="Tahoma"/>
            <family val="2"/>
            <charset val="186"/>
          </rPr>
          <t>Nimi täpsustub.</t>
        </r>
      </text>
    </comment>
    <comment ref="E60" authorId="0">
      <text>
        <r>
          <rPr>
            <b/>
            <sz val="9"/>
            <color indexed="81"/>
            <rFont val="Tahoma"/>
            <family val="2"/>
            <charset val="186"/>
          </rPr>
          <t>Uus liitumispunkt, võetakse üle arendajalt 2025. aastal. EIC-kood selgub ülevõtmisel.</t>
        </r>
      </text>
    </comment>
    <comment ref="H60" authorId="0">
      <text>
        <r>
          <rPr>
            <b/>
            <sz val="9"/>
            <color indexed="81"/>
            <rFont val="Tahoma"/>
            <family val="2"/>
            <charset val="186"/>
          </rPr>
          <t>Eeldatavalt analoogne olemasoleva tarbimiskohaga:
Manniva, Jägala-Jõesuu, kanalisatsiooni-puhasti,
EIC-kood 38ZEE-00375749-8.</t>
        </r>
      </text>
    </comment>
    <comment ref="AL60" authorId="0">
      <text>
        <r>
          <rPr>
            <b/>
            <sz val="9"/>
            <color indexed="81"/>
            <rFont val="Tahoma"/>
            <family val="2"/>
            <charset val="186"/>
          </rPr>
          <t>Erandlik valem.</t>
        </r>
      </text>
    </comment>
    <comment ref="AM60" authorId="0">
      <text>
        <r>
          <rPr>
            <b/>
            <sz val="9"/>
            <color indexed="81"/>
            <rFont val="Tahoma"/>
            <family val="2"/>
            <charset val="186"/>
          </rPr>
          <t>Erandlik valem.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86"/>
          </rPr>
          <t>Nimi täpsustub.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186"/>
          </rPr>
          <t>Uus liitumispunkt, võetakse üle arendajalt 2025. aastal. EIC-kood selgub ülevõtmisel.</t>
        </r>
      </text>
    </comment>
    <comment ref="H61" authorId="0">
      <text>
        <r>
          <rPr>
            <b/>
            <sz val="9"/>
            <color indexed="81"/>
            <rFont val="Tahoma"/>
            <family val="2"/>
            <charset val="186"/>
          </rPr>
          <t>Eeldatavalt analoogne olemasoleva tarbimiskohaga:
Lagedi, Lagedi vesi,
EIC-kood 38ZEE-0600017G-H.</t>
        </r>
      </text>
    </comment>
    <comment ref="AK61" authorId="0">
      <text>
        <r>
          <rPr>
            <b/>
            <sz val="9"/>
            <color indexed="81"/>
            <rFont val="Tahoma"/>
            <family val="2"/>
            <charset val="186"/>
          </rPr>
          <t>Erandlik valem.</t>
        </r>
      </text>
    </comment>
    <comment ref="D73" authorId="0">
      <text>
        <r>
          <rPr>
            <b/>
            <sz val="9"/>
            <color indexed="81"/>
            <rFont val="Tahoma"/>
            <family val="2"/>
            <charset val="186"/>
          </rPr>
          <t>40% vesi;
40% reovesi;
20% muu.</t>
        </r>
      </text>
    </comment>
    <comment ref="E80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08.08.2022.</t>
        </r>
      </text>
    </comment>
    <comment ref="E98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17.05.2021.</t>
        </r>
      </text>
    </comment>
    <comment ref="E100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26.05.2023.</t>
        </r>
      </text>
    </comment>
    <comment ref="E101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26.05.2023.</t>
        </r>
      </text>
    </comment>
    <comment ref="E102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26.05.2023.</t>
        </r>
      </text>
    </comment>
    <comment ref="E103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14.06.2023.</t>
        </r>
      </text>
    </comment>
    <comment ref="E105" authorId="1">
      <text>
        <r>
          <rPr>
            <b/>
            <sz val="9"/>
            <color indexed="81"/>
            <rFont val="Tahoma"/>
            <family val="2"/>
            <charset val="186"/>
          </rPr>
          <t>Võrgulepingut alates 05.2024 enam ei ole.</t>
        </r>
      </text>
    </comment>
    <comment ref="AK105" authorId="0">
      <text>
        <r>
          <rPr>
            <b/>
            <sz val="9"/>
            <color indexed="81"/>
            <rFont val="Tahoma"/>
            <family val="2"/>
            <charset val="186"/>
          </rPr>
          <t>Erandlik valem.</t>
        </r>
      </text>
    </comment>
    <comment ref="BL105" authorId="1">
      <text>
        <r>
          <rPr>
            <b/>
            <sz val="9"/>
            <color indexed="81"/>
            <rFont val="Tahoma"/>
            <family val="2"/>
            <charset val="186"/>
          </rPr>
          <t>Võrgulepingut alates 05.2024 enam ei ole.</t>
        </r>
      </text>
    </comment>
    <comment ref="E106" authorId="1">
      <text>
        <r>
          <rPr>
            <b/>
            <sz val="9"/>
            <color indexed="81"/>
            <rFont val="Tahoma"/>
            <family val="2"/>
            <charset val="186"/>
          </rPr>
          <t>Võrgulepingu algus 01.12.2021.</t>
        </r>
      </text>
    </comment>
    <comment ref="G106" authorId="0">
      <text>
        <r>
          <rPr>
            <b/>
            <sz val="9"/>
            <color indexed="81"/>
            <rFont val="Tahoma"/>
            <family val="2"/>
            <charset val="186"/>
          </rPr>
          <t>Allikas: https://www.ts.ee/elekter/</t>
        </r>
      </text>
    </comment>
    <comment ref="AV106" authorId="0">
      <text>
        <r>
          <rPr>
            <b/>
            <sz val="9"/>
            <color indexed="81"/>
            <rFont val="Tahoma"/>
            <family val="2"/>
            <charset val="186"/>
          </rPr>
          <t>Allikas: https://www.ts.ee/elekter/</t>
        </r>
      </text>
    </comment>
    <comment ref="AW106" authorId="0">
      <text>
        <r>
          <rPr>
            <b/>
            <sz val="9"/>
            <color indexed="81"/>
            <rFont val="Tahoma"/>
            <family val="2"/>
            <charset val="186"/>
          </rPr>
          <t>Allikas: https://www.ts.ee/elekter/</t>
        </r>
      </text>
    </comment>
    <comment ref="G107" authorId="0">
      <text>
        <r>
          <rPr>
            <b/>
            <sz val="9"/>
            <color indexed="81"/>
            <rFont val="Tahoma"/>
            <family val="2"/>
            <charset val="186"/>
          </rPr>
          <t>Allikas: Talismaa TÜ arved.</t>
        </r>
      </text>
    </comment>
    <comment ref="AR112" authorId="0">
      <text>
        <r>
          <rPr>
            <b/>
            <sz val="8"/>
            <color indexed="81"/>
            <rFont val="Tahoma"/>
            <family val="2"/>
            <charset val="186"/>
          </rPr>
          <t>Piirkond EE Monthly.</t>
        </r>
      </text>
    </comment>
    <comment ref="AT113" authorId="0">
      <text>
        <r>
          <rPr>
            <b/>
            <sz val="8"/>
            <color indexed="81"/>
            <rFont val="Tahoma"/>
            <family val="2"/>
            <charset val="186"/>
          </rPr>
          <t>Kuu keskmine.</t>
        </r>
      </text>
    </comment>
  </commentList>
</comments>
</file>

<file path=xl/comments8.xml><?xml version="1.0" encoding="utf-8"?>
<comments xmlns="http://schemas.openxmlformats.org/spreadsheetml/2006/main">
  <authors>
    <author>Tõnis Tamm</author>
  </authors>
  <commentList>
    <comment ref="AA8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Võrgumeister (2024.a seisuga täitmata ametikoht); Vesi 50%, kanal 50%.</t>
        </r>
      </text>
    </comment>
    <comment ref="AC8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Võrgumeister (2024.a seisuga täitmata ametikoht); Vesi 50%, kanal 50%.</t>
        </r>
      </text>
    </comment>
    <comment ref="AA9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Täitmata ametikohad: töölised 2 tk; selleks et oleks tagatud vahetustega töö (neist Vesi 50%, kanal 50%).</t>
        </r>
      </text>
    </comment>
    <comment ref="AC9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Täitmata ametikohad: töölised 2 tk; selleks et oleks tagatud vahetustega töö (neist Vesi 50%, kanal 50%).</t>
        </r>
      </text>
    </comment>
    <comment ref="AA13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Võrgumeister (2024.a seisuga täitmata ametikoht); Vesi 50%, kanal 50%.</t>
        </r>
      </text>
    </comment>
    <comment ref="AC13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Võrgumeister (2024.a seisuga täitmata ametikoht); Vesi 50%, kanal 50%.</t>
        </r>
      </text>
    </comment>
    <comment ref="AA14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Täitmata ametikohad: töölised 2 tk; selleks et oleks tagatud vahetustega töö (neist Vesi 50%, kanal 50%).</t>
        </r>
      </text>
    </comment>
    <comment ref="AC14" authorId="0">
      <text>
        <r>
          <rPr>
            <b/>
            <sz val="9"/>
            <color indexed="81"/>
            <rFont val="Tahoma"/>
            <family val="2"/>
            <charset val="186"/>
          </rPr>
          <t>Loo Vesi:</t>
        </r>
        <r>
          <rPr>
            <sz val="9"/>
            <color indexed="81"/>
            <rFont val="Tahoma"/>
            <family val="2"/>
            <charset val="186"/>
          </rPr>
          <t xml:space="preserve">
Täitmata ametikohad: töölised 2 tk; selleks et oleks tagatud vahetustega töö (neist Vesi 50%, kanal 50%).</t>
        </r>
      </text>
    </comment>
  </commentList>
</comments>
</file>

<file path=xl/comments9.xml><?xml version="1.0" encoding="utf-8"?>
<comments xmlns="http://schemas.openxmlformats.org/spreadsheetml/2006/main">
  <authors>
    <author>Jaak Lepik</author>
    <author>Finantsplaan OÜ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186"/>
          </rPr>
          <t>Väljaarvatud: Konkurentsiameti järelevalvetasu.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186"/>
          </rPr>
          <t>Väljaarvatud: ebatõen. laek. arved, lootusetud võlad.</t>
        </r>
      </text>
    </comment>
    <comment ref="B7" authorId="0">
      <text>
        <r>
          <rPr>
            <sz val="9"/>
            <color indexed="81"/>
            <rFont val="Tahoma"/>
            <family val="2"/>
            <charset val="186"/>
          </rPr>
          <t>Kontrollvalemist ellimineeritud järelvalvetasud - need liidetakse lubatud müügitulule pärast lubatud müügitulu arvutamist.</t>
        </r>
      </text>
    </comment>
    <comment ref="C13" authorId="0">
      <text>
        <r>
          <rPr>
            <b/>
            <sz val="8"/>
            <color indexed="81"/>
            <rFont val="Tahoma"/>
            <family val="2"/>
            <charset val="186"/>
          </rPr>
          <t>Täisulatuses lülitatud veeteenuse hinda.</t>
        </r>
      </text>
    </comment>
    <comment ref="C14" authorId="0">
      <text>
        <r>
          <rPr>
            <b/>
            <sz val="8"/>
            <color indexed="81"/>
            <rFont val="Tahoma"/>
            <family val="2"/>
            <charset val="186"/>
          </rPr>
          <t>Saastetasud on lülitatud reovee puhastamise hinda ilma purgimisteenusele kuluvate saastetasudeta.</t>
        </r>
      </text>
    </comment>
    <comment ref="C16" authorId="0">
      <text>
        <r>
          <rPr>
            <b/>
            <sz val="8"/>
            <color indexed="81"/>
            <rFont val="Tahoma"/>
            <family val="2"/>
            <charset val="186"/>
          </rPr>
          <t>Kulu jaotatud vastavalt teenuse müügimahu osakaalule kogu müügimahus (m</t>
        </r>
        <r>
          <rPr>
            <b/>
            <vertAlign val="superscript"/>
            <sz val="8"/>
            <color indexed="81"/>
            <rFont val="Tahoma"/>
            <family val="2"/>
            <charset val="186"/>
          </rPr>
          <t>3</t>
        </r>
        <r>
          <rPr>
            <b/>
            <sz val="8"/>
            <color indexed="81"/>
            <rFont val="Tahoma"/>
            <family val="2"/>
            <charset val="186"/>
          </rPr>
          <t>).</t>
        </r>
      </text>
    </comment>
    <comment ref="C17" authorId="0">
      <text>
        <r>
          <rPr>
            <b/>
            <sz val="8"/>
            <color indexed="81"/>
            <rFont val="Tahoma"/>
            <family val="2"/>
            <charset val="186"/>
          </rPr>
          <t>Kulu jaotatud vastavalt teenuse müügimahu osakaalule kogu müügimahus (m</t>
        </r>
        <r>
          <rPr>
            <b/>
            <vertAlign val="superscript"/>
            <sz val="8"/>
            <color indexed="81"/>
            <rFont val="Tahoma"/>
            <family val="2"/>
            <charset val="186"/>
          </rPr>
          <t>3</t>
        </r>
        <r>
          <rPr>
            <b/>
            <sz val="8"/>
            <color indexed="81"/>
            <rFont val="Tahoma"/>
            <family val="2"/>
            <charset val="186"/>
          </rPr>
          <t>).</t>
        </r>
      </text>
    </comment>
    <comment ref="C18" authorId="0">
      <text>
        <r>
          <rPr>
            <b/>
            <sz val="8"/>
            <color indexed="81"/>
            <rFont val="Tahoma"/>
            <family val="2"/>
            <charset val="186"/>
          </rPr>
          <t>Täisulatuses lülitatud veeteenuse hinda.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186"/>
          </rPr>
          <t>Täisulatuses lülitatud reoveeteenuse hinda.</t>
        </r>
      </text>
    </comment>
    <comment ref="C20" authorId="0">
      <text>
        <r>
          <rPr>
            <b/>
            <sz val="8"/>
            <color indexed="81"/>
            <rFont val="Tahoma"/>
            <family val="2"/>
            <charset val="186"/>
          </rPr>
          <t>Kulu jaotatud vastavalt teenuse müügimahu osakaalule kogu müügimahus (m</t>
        </r>
        <r>
          <rPr>
            <b/>
            <vertAlign val="superscript"/>
            <sz val="8"/>
            <color indexed="81"/>
            <rFont val="Tahoma"/>
            <family val="2"/>
            <charset val="186"/>
          </rPr>
          <t>3</t>
        </r>
        <r>
          <rPr>
            <b/>
            <sz val="8"/>
            <color indexed="81"/>
            <rFont val="Tahoma"/>
            <family val="2"/>
            <charset val="186"/>
          </rPr>
          <t>).</t>
        </r>
      </text>
    </comment>
    <comment ref="C22" authorId="0">
      <text>
        <r>
          <rPr>
            <b/>
            <sz val="8"/>
            <color indexed="81"/>
            <rFont val="Tahoma"/>
            <family val="2"/>
            <charset val="186"/>
          </rPr>
          <t>Kulu jaotatud vastavalt teenuse müügimahu osakaalule kogu müügimahus (m</t>
        </r>
        <r>
          <rPr>
            <b/>
            <vertAlign val="superscript"/>
            <sz val="8"/>
            <color indexed="81"/>
            <rFont val="Tahoma"/>
            <family val="2"/>
            <charset val="186"/>
          </rPr>
          <t>3</t>
        </r>
        <r>
          <rPr>
            <b/>
            <sz val="8"/>
            <color indexed="81"/>
            <rFont val="Tahoma"/>
            <family val="2"/>
            <charset val="186"/>
          </rPr>
          <t>).</t>
        </r>
      </text>
    </comment>
    <comment ref="H23" authorId="1">
      <text>
        <r>
          <rPr>
            <b/>
            <sz val="8"/>
            <color indexed="81"/>
            <rFont val="Tahoma"/>
            <family val="2"/>
            <charset val="186"/>
          </rPr>
          <t>Käibekapitali arvestuse aluseks võetakse 5% viimase kolme kalendriaasta ühisveevärgi ja - kanalisatsiooni teenuse käibe aritmeetilisest keskmisest.</t>
        </r>
      </text>
    </comment>
    <comment ref="C26" authorId="0">
      <text>
        <r>
          <rPr>
            <b/>
            <sz val="8"/>
            <color indexed="81"/>
            <rFont val="Tahoma"/>
            <family val="2"/>
            <charset val="186"/>
          </rPr>
          <t>Kulu jaotatud teenuste vahel vastavalt elektri liitumispunktide seotusele teenuse osutamise liigiga.</t>
        </r>
      </text>
    </comment>
    <comment ref="C27" authorId="0">
      <text>
        <r>
          <rPr>
            <b/>
            <sz val="8"/>
            <color indexed="81"/>
            <rFont val="Tahoma"/>
            <family val="2"/>
            <charset val="186"/>
          </rPr>
          <t>Kemikaalide kulu jaotatud vastavalt kemikaali kasutusotstarbele. Muudesse kuludesse on eristatud purgimise kemikaalide kulud.</t>
        </r>
      </text>
    </comment>
    <comment ref="C28" authorId="0">
      <text>
        <r>
          <rPr>
            <b/>
            <sz val="8"/>
            <color indexed="81"/>
            <rFont val="Tahoma"/>
            <family val="2"/>
            <charset val="186"/>
          </rPr>
          <t>Kulu jaotatud teenuste vahel vastavalt töötasu jagunemisele teenuste vahel.</t>
        </r>
      </text>
    </comment>
    <comment ref="C31" authorId="0">
      <text>
        <r>
          <rPr>
            <b/>
            <sz val="8"/>
            <color indexed="81"/>
            <rFont val="Tahoma"/>
            <family val="2"/>
            <charset val="186"/>
          </rPr>
          <t xml:space="preserve">Kulum jaotatud teenuste vahel </t>
        </r>
        <r>
          <rPr>
            <b/>
            <u/>
            <sz val="8"/>
            <color indexed="81"/>
            <rFont val="Tahoma"/>
            <family val="2"/>
            <charset val="186"/>
          </rPr>
          <t>varade soetusmaksumuse</t>
        </r>
        <r>
          <rPr>
            <b/>
            <sz val="8"/>
            <color indexed="81"/>
            <rFont val="Tahoma"/>
            <family val="2"/>
            <charset val="186"/>
          </rPr>
          <t xml:space="preserve"> alusel.</t>
        </r>
      </text>
    </comment>
    <comment ref="C33" authorId="0">
      <text>
        <r>
          <rPr>
            <b/>
            <sz val="8"/>
            <color indexed="81"/>
            <rFont val="Tahoma"/>
            <family val="2"/>
            <charset val="186"/>
          </rPr>
          <t xml:space="preserve">Põhjendatud tulukus jaotatud teenuste vahel </t>
        </r>
        <r>
          <rPr>
            <b/>
            <u/>
            <sz val="8"/>
            <color indexed="81"/>
            <rFont val="Tahoma"/>
            <family val="2"/>
            <charset val="186"/>
          </rPr>
          <t>varade jääkmaksumuse</t>
        </r>
        <r>
          <rPr>
            <b/>
            <sz val="8"/>
            <color indexed="81"/>
            <rFont val="Tahoma"/>
            <family val="2"/>
            <charset val="186"/>
          </rPr>
          <t xml:space="preserve"> alusel.</t>
        </r>
      </text>
    </comment>
  </commentList>
</comments>
</file>

<file path=xl/sharedStrings.xml><?xml version="1.0" encoding="utf-8"?>
<sst xmlns="http://schemas.openxmlformats.org/spreadsheetml/2006/main" count="11018" uniqueCount="1323">
  <si>
    <t>Finantskulud</t>
  </si>
  <si>
    <t>Kokku finantstulud</t>
  </si>
  <si>
    <t>Lähetuskulud</t>
  </si>
  <si>
    <t>Avalike suhete ja teabekorralduse kulud</t>
  </si>
  <si>
    <t>Muud ärikulud</t>
  </si>
  <si>
    <t>Kahjum valuutakursi muutustest</t>
  </si>
  <si>
    <t>1.</t>
  </si>
  <si>
    <t>1.1</t>
  </si>
  <si>
    <t>1.1.1</t>
  </si>
  <si>
    <t>1.1.2</t>
  </si>
  <si>
    <t>1.1.3</t>
  </si>
  <si>
    <t>1.1.4</t>
  </si>
  <si>
    <t>1.1.5</t>
  </si>
  <si>
    <t>1.2</t>
  </si>
  <si>
    <t>1.2.1</t>
  </si>
  <si>
    <t>1.2.2</t>
  </si>
  <si>
    <t>1.2.3</t>
  </si>
  <si>
    <t>1.2.4</t>
  </si>
  <si>
    <t>2.</t>
  </si>
  <si>
    <t>2.1</t>
  </si>
  <si>
    <t>2.1.2</t>
  </si>
  <si>
    <t>2.1.3</t>
  </si>
  <si>
    <t>2.1.4</t>
  </si>
  <si>
    <t>2.1.5</t>
  </si>
  <si>
    <t>2.2</t>
  </si>
  <si>
    <t>2.2.1</t>
  </si>
  <si>
    <t>2.2.2</t>
  </si>
  <si>
    <t>2.2.3</t>
  </si>
  <si>
    <t>2.2.4</t>
  </si>
  <si>
    <t>2.2.5</t>
  </si>
  <si>
    <t>3.</t>
  </si>
  <si>
    <t>3.1</t>
  </si>
  <si>
    <t>3.2</t>
  </si>
  <si>
    <t>4.</t>
  </si>
  <si>
    <t>4.1</t>
  </si>
  <si>
    <t>4.2</t>
  </si>
  <si>
    <t>6.</t>
  </si>
  <si>
    <t>Kulum</t>
  </si>
  <si>
    <t xml:space="preserve">Ümber klassifitseeritud soetusmaksumuses </t>
  </si>
  <si>
    <t xml:space="preserve">Ümber klassifitseeritud jääkmaksumuses </t>
  </si>
  <si>
    <t>km</t>
  </si>
  <si>
    <t>tk</t>
  </si>
  <si>
    <t>%</t>
  </si>
  <si>
    <t>TULUD</t>
  </si>
  <si>
    <t>KULUD</t>
  </si>
  <si>
    <t>Kulud töövahenditele</t>
  </si>
  <si>
    <t>Infotehnoloogilised kulud</t>
  </si>
  <si>
    <t xml:space="preserve">Telekommunikatsioonikulud </t>
  </si>
  <si>
    <t>Töötervishoiu ja -ohutuse alased kulud</t>
  </si>
  <si>
    <t>Koolituskulud</t>
  </si>
  <si>
    <t>6.1</t>
  </si>
  <si>
    <t>Kahjum põhivara müügist</t>
  </si>
  <si>
    <t>Ettevõtlusega mitteseotud kulud</t>
  </si>
  <si>
    <t>Trahvid, viivised, hüvitised</t>
  </si>
  <si>
    <t>Finantstulud</t>
  </si>
  <si>
    <t xml:space="preserve">Muud finantskulud </t>
  </si>
  <si>
    <t>Nimetus</t>
  </si>
  <si>
    <t>Nr.</t>
  </si>
  <si>
    <t>5.</t>
  </si>
  <si>
    <t>2.1.6</t>
  </si>
  <si>
    <t>2.2.6</t>
  </si>
  <si>
    <t>kWh</t>
  </si>
  <si>
    <t>Kulud mõõtetehnikale</t>
  </si>
  <si>
    <t>Kindlustuskulud</t>
  </si>
  <si>
    <t>Ebatõenäoliselt laekuvad arved, lootusetud võlad</t>
  </si>
  <si>
    <t>KOKKU ÄRITULUD</t>
  </si>
  <si>
    <t>KOKKU ÄRIKULUD</t>
  </si>
  <si>
    <t>ÄRIKASUM (-KAHJUM)</t>
  </si>
  <si>
    <t>Vee müük tarbijatele</t>
  </si>
  <si>
    <t>Hoonete ja ruumide rendikulud</t>
  </si>
  <si>
    <t>Äri- ja konsultatsiooniteenused</t>
  </si>
  <si>
    <t>Emaettevõttele makstavad juhtimisteenused</t>
  </si>
  <si>
    <t>Jrk nr</t>
  </si>
  <si>
    <t>Müügitulu</t>
  </si>
  <si>
    <t xml:space="preserve">KOKKU MÜÜGITULU </t>
  </si>
  <si>
    <t>1.1.6</t>
  </si>
  <si>
    <t>1.1.7</t>
  </si>
  <si>
    <t>1.1.8</t>
  </si>
  <si>
    <t>1.1.9</t>
  </si>
  <si>
    <t>Keskmine elektrienergia hind</t>
  </si>
  <si>
    <t>Tööjõukulud</t>
  </si>
  <si>
    <t>Palgakulud</t>
  </si>
  <si>
    <t>Kokku kulum</t>
  </si>
  <si>
    <t>Intressikulud</t>
  </si>
  <si>
    <t>Remondi-ja hoolduskulud</t>
  </si>
  <si>
    <t>Bürookulud</t>
  </si>
  <si>
    <t>Erisoodustuste kulud</t>
  </si>
  <si>
    <t>Kemikaalide kulu</t>
  </si>
  <si>
    <t>Riigilõivude kulu</t>
  </si>
  <si>
    <t>Maamaksu kulu</t>
  </si>
  <si>
    <t>Põhivara allahindlus</t>
  </si>
  <si>
    <t>2.1.1</t>
  </si>
  <si>
    <t>2.2.7</t>
  </si>
  <si>
    <t>2.2.8</t>
  </si>
  <si>
    <t>2.2.9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</si>
  <si>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</si>
  <si>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</si>
  <si>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</si>
  <si>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</si>
  <si>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</si>
  <si>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</si>
  <si>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</si>
  <si>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</si>
  <si>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</si>
  <si>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</si>
  <si>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2.3</t>
  </si>
  <si>
    <t>2.3.1</t>
  </si>
  <si>
    <t>2.3.2</t>
  </si>
  <si>
    <t>2.4</t>
  </si>
  <si>
    <t>4.3</t>
  </si>
  <si>
    <t>8.1</t>
  </si>
  <si>
    <t>8.2</t>
  </si>
  <si>
    <t>Põhivara kuluminormid</t>
  </si>
  <si>
    <t xml:space="preserve">Jrk nr </t>
  </si>
  <si>
    <t>Liitumistasud</t>
  </si>
  <si>
    <t>Ühisveevärgi torustike pikkus</t>
  </si>
  <si>
    <t>Ühiskanalisatsiooni torustike pikkus</t>
  </si>
  <si>
    <t>Veevarustuse teenus</t>
  </si>
  <si>
    <t>2.3.3</t>
  </si>
  <si>
    <t>2.3.4</t>
  </si>
  <si>
    <t>8.</t>
  </si>
  <si>
    <t>Kokku</t>
  </si>
  <si>
    <t>1.1.10</t>
  </si>
  <si>
    <t xml:space="preserve">Teenuse nimetus </t>
  </si>
  <si>
    <t>hind</t>
  </si>
  <si>
    <t>ühik</t>
  </si>
  <si>
    <t>kogus</t>
  </si>
  <si>
    <t>tootmishooned</t>
  </si>
  <si>
    <t>reservuaarid ja mahutid</t>
  </si>
  <si>
    <t>masinad ja seadmed</t>
  </si>
  <si>
    <t>Tasuliik</t>
  </si>
  <si>
    <t>Tasumäär</t>
  </si>
  <si>
    <t>kokku</t>
  </si>
  <si>
    <t>loaga</t>
  </si>
  <si>
    <t xml:space="preserve">üle loa </t>
  </si>
  <si>
    <t>loata</t>
  </si>
  <si>
    <t>Konkurentsiamet</t>
  </si>
  <si>
    <t>HINNATAOTLUSE ESITAMISE PÕHJENDUS:</t>
  </si>
  <si>
    <t>Ees- ja perekonna nimi:</t>
  </si>
  <si>
    <t>Allkiri:</t>
  </si>
  <si>
    <t>ETTEVÕTJA NIMI:</t>
  </si>
  <si>
    <t>ÄRIREGISTRI KOOD:</t>
  </si>
  <si>
    <t>Aadress :</t>
  </si>
  <si>
    <t>Telefon :</t>
  </si>
  <si>
    <t>Koostaja nimi ja tel.nr</t>
  </si>
  <si>
    <t>MÜÜK</t>
  </si>
  <si>
    <t>Tagastamatu abi (sihtfinantseerimine)</t>
  </si>
  <si>
    <t>Tagastamatu abi (sihtfinantseerimine) kulum</t>
  </si>
  <si>
    <t>Ost kokku</t>
  </si>
  <si>
    <t>Teenuse tasu ühik</t>
  </si>
  <si>
    <t>Teenuse tasu</t>
  </si>
  <si>
    <t>Ühik</t>
  </si>
  <si>
    <t>Sotsiaalmaks ja töötuskindlustusmakse</t>
  </si>
  <si>
    <t>Igakuine intressimakse laenukohustustelt (aasta keskmine)</t>
  </si>
  <si>
    <t>Sademe- või drenaazivee ning muu pinnase- ja pinnavee ärajuhtimise teenus</t>
  </si>
  <si>
    <t>Tagastamatu abi (sihtfinantseerimine) tulu tegevuskulude katteks</t>
  </si>
  <si>
    <t>Muud keskkonnatasud</t>
  </si>
  <si>
    <t>Tagastamatu abi (sihtfinantseerimise) kulud</t>
  </si>
  <si>
    <t>Reovee ärajuhtimise ja puhastamise teenus</t>
  </si>
  <si>
    <t>Müüdud, likvideeritud põhivara soetusmaksumuses</t>
  </si>
  <si>
    <t>Müüdud, likvideeritud põhivara jääkmaksumuses</t>
  </si>
  <si>
    <t>Põhiteenustega seotud teenused (ex-ante)</t>
  </si>
  <si>
    <t>Põhivahendite rendikulu</t>
  </si>
  <si>
    <t>6.2</t>
  </si>
  <si>
    <t>7.</t>
  </si>
  <si>
    <t>8.3</t>
  </si>
  <si>
    <t>9.</t>
  </si>
  <si>
    <t>9.1</t>
  </si>
  <si>
    <t>9.2</t>
  </si>
  <si>
    <t>9.3</t>
  </si>
  <si>
    <t>Muu tegevus (hinnad ei ole reguleeritavad ÜVVKS kohaselt)</t>
  </si>
  <si>
    <t>2.2.23</t>
  </si>
  <si>
    <t>2.2.24</t>
  </si>
  <si>
    <t>Müügikulud (va. ebatõenäoliselt laekuvad arved)</t>
  </si>
  <si>
    <t>€/m³</t>
  </si>
  <si>
    <t>€</t>
  </si>
  <si>
    <t>Koondamistasud koos maksudega</t>
  </si>
  <si>
    <t>Finantstulud investeeringutelt tütar- ja sidusettevõtetesse</t>
  </si>
  <si>
    <t>Finantskulud investeeringutelt tütar- ja sidusettevõtetesse</t>
  </si>
  <si>
    <t>Kokku finantskulud</t>
  </si>
  <si>
    <t>KASUM (-KAHJUM) ENNE TULUMAKSUSTAMIST</t>
  </si>
  <si>
    <t>KASUM (-KAHJUM)</t>
  </si>
  <si>
    <t>1.1.11</t>
  </si>
  <si>
    <t>1.1.12</t>
  </si>
  <si>
    <t>Abonenttasu veevarustuse eest</t>
  </si>
  <si>
    <t>Abonenttasu reovee ärajuhtimise ja puhastamise eest</t>
  </si>
  <si>
    <t>Vee erikasutusõiguse tasu</t>
  </si>
  <si>
    <t>Puurkaevude arv</t>
  </si>
  <si>
    <t>Abonentide arv</t>
  </si>
  <si>
    <t>Teiselt vee-ettevõtjalt ostetud vesi</t>
  </si>
  <si>
    <t>Saastetasu</t>
  </si>
  <si>
    <t>Veekadu</t>
  </si>
  <si>
    <t>Kulu analüüside teostamiseks</t>
  </si>
  <si>
    <t>Muud mitmesugused tegevuskulud (loetle)</t>
  </si>
  <si>
    <t>Transpordikulud, sõidukite majandamise kulud</t>
  </si>
  <si>
    <t>asendatud</t>
  </si>
  <si>
    <t>Liikmemaksud (loetle)</t>
  </si>
  <si>
    <t>2.2.24.1</t>
  </si>
  <si>
    <t>2.2.24.2</t>
  </si>
  <si>
    <t>Ammutatud vesi (vee erikasutusõiguse tasuga maksustatud)</t>
  </si>
  <si>
    <t>7.1</t>
  </si>
  <si>
    <t>7.2</t>
  </si>
  <si>
    <t>7.3</t>
  </si>
  <si>
    <t>Veetöötlusjaamade arv</t>
  </si>
  <si>
    <t>Reoveepuhastite arv</t>
  </si>
  <si>
    <t>Ammutatud vesi (muu)</t>
  </si>
  <si>
    <t>9.1.1</t>
  </si>
  <si>
    <t>9.1.2</t>
  </si>
  <si>
    <t>9.2.1</t>
  </si>
  <si>
    <t>9.2.2</t>
  </si>
  <si>
    <t>9.3.1</t>
  </si>
  <si>
    <t>9.3.2</t>
  </si>
  <si>
    <t>9.1.3</t>
  </si>
  <si>
    <t>9.2.3</t>
  </si>
  <si>
    <t>9.3.3</t>
  </si>
  <si>
    <t>sh rekonstrueeritud ja uued</t>
  </si>
  <si>
    <t>tagastamatust abist (sihtfinantseerimistest) soetatud vara</t>
  </si>
  <si>
    <t>ettevõtte vahenditest soetatud vara</t>
  </si>
  <si>
    <t>sh liitumistasude arvelt soetatud vara</t>
  </si>
  <si>
    <t>Mittekontrollitavad kulud</t>
  </si>
  <si>
    <t>Kontrollitavad tegevuskulud</t>
  </si>
  <si>
    <t>Kokku mittekontrollitavad kulud</t>
  </si>
  <si>
    <t>Kokku kontrollitavad tegevuskulud</t>
  </si>
  <si>
    <t>Efektiivsuse</t>
  </si>
  <si>
    <t>koefitsent</t>
  </si>
  <si>
    <t>3.3</t>
  </si>
  <si>
    <t>2.4.1</t>
  </si>
  <si>
    <t>2.4.2</t>
  </si>
  <si>
    <t>2.4.3</t>
  </si>
  <si>
    <t>2.4.4</t>
  </si>
  <si>
    <t>2.2.10</t>
  </si>
  <si>
    <t>2.2.11</t>
  </si>
  <si>
    <t>2.2.21.1</t>
  </si>
  <si>
    <t>2.2.21.2</t>
  </si>
  <si>
    <t>2.2.23.1</t>
  </si>
  <si>
    <t>2.2.23.2</t>
  </si>
  <si>
    <t>2.2.24.3</t>
  </si>
  <si>
    <t>2.2.24.4</t>
  </si>
  <si>
    <t>2.4.5</t>
  </si>
  <si>
    <t>Vee omatarve</t>
  </si>
  <si>
    <t>Laenukohustuse põhiosa igakuine tagasimakse (aasta keskmine)</t>
  </si>
  <si>
    <t>Ammutatud vee ja ostetud vee summa ilma omatarbeveeta</t>
  </si>
  <si>
    <t>Rajatud võetud vee teenuse liitumisvõimaluste ehk liitumispunktide arv</t>
  </si>
  <si>
    <t>Rajatud reovee ärajuhtimise ja -puhastamise teenuse liitumisvõimaluste ehk liitumispunktide arv</t>
  </si>
  <si>
    <t>Maa</t>
  </si>
  <si>
    <t>Lõpetamata projektid</t>
  </si>
  <si>
    <t>KOKKU</t>
  </si>
  <si>
    <t>Põhivara soetusmaksumus aasta alguses</t>
  </si>
  <si>
    <t>Põhivara jääkmaksumus aasta alguses</t>
  </si>
  <si>
    <t>Investeeritud põhivara soetamisse (ostud ja parendused)</t>
  </si>
  <si>
    <t>Arvestatud põhivarade kulum (amortisatsioonikulu)</t>
  </si>
  <si>
    <t>Allahindlused väärtuse languse tõttu soetusmaksumuses</t>
  </si>
  <si>
    <t>Allahindlused väärtuse languse tõttu jääkmaksumuses</t>
  </si>
  <si>
    <t xml:space="preserve">Muud muudatused soetusmaksumuses </t>
  </si>
  <si>
    <t xml:space="preserve">Muud muudatused jääkmaksumuses </t>
  </si>
  <si>
    <t>Põhivara soetusmaksumus aasta lõpus</t>
  </si>
  <si>
    <t>Põhivara jääkmaksumus aasta lõpus</t>
  </si>
  <si>
    <t>Keskmine ettevõtte põhivarade kuluminorm</t>
  </si>
  <si>
    <t>TAOTLUS VEETEENUSE HINDADE KOOSKÕLASTAMISEKS</t>
  </si>
  <si>
    <t>Kinnitan käesolevas taotluses esitatud ning taotlusele lisatud andmete õigsust.</t>
  </si>
  <si>
    <t>Võetud vee teenus</t>
  </si>
  <si>
    <t>4.4</t>
  </si>
  <si>
    <t>Materiaalne (ehitised, masinad, seadmed jm) ja immateriaalne põhivara</t>
  </si>
  <si>
    <t>Kemikaalide kulu kujunemine</t>
  </si>
  <si>
    <t>Elektrienergia tarbimine veeteenuse osutamisel</t>
  </si>
  <si>
    <t>Kulud elektrienergiale veeteenuse osutamisel</t>
  </si>
  <si>
    <t>Keskmine brutopalk veeteenuse osutamisel (kuus)</t>
  </si>
  <si>
    <t>Põhiteenustega seotud teenused</t>
  </si>
  <si>
    <t>Lõpetamata ehitise saldo aasta lõpus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</si>
  <si>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</si>
  <si>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</si>
  <si>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</si>
  <si>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</si>
  <si>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</si>
  <si>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</si>
  <si>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</si>
  <si>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</si>
  <si>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</si>
  <si>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</si>
  <si>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</si>
  <si>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</si>
  <si>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</si>
  <si>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</si>
  <si>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</si>
  <si>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</si>
  <si>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</si>
  <si>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</si>
  <si>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</si>
  <si>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</si>
  <si>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</si>
  <si>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</si>
  <si>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</si>
  <si>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</si>
  <si>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</si>
  <si>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</si>
  <si>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</si>
  <si>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</si>
  <si>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</si>
  <si>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</si>
  <si>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</si>
  <si>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</si>
  <si>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11.3.</t>
  </si>
  <si>
    <t>12.1.</t>
  </si>
  <si>
    <t>12.2.</t>
  </si>
  <si>
    <t>12.3.</t>
  </si>
  <si>
    <t>13.1.</t>
  </si>
  <si>
    <t>13.2.</t>
  </si>
  <si>
    <t>13.3.</t>
  </si>
  <si>
    <t>14.1.</t>
  </si>
  <si>
    <t>14.2.</t>
  </si>
  <si>
    <t>14.3.</t>
  </si>
  <si>
    <t>15.1.</t>
  </si>
  <si>
    <t>15.2.</t>
  </si>
  <si>
    <t>15.3.</t>
  </si>
  <si>
    <t>15.4.</t>
  </si>
  <si>
    <t>aruandes</t>
  </si>
  <si>
    <t>vahe</t>
  </si>
  <si>
    <t>Müük füüsilistele isikutele</t>
  </si>
  <si>
    <t>Müük juriidilistele isikutele</t>
  </si>
  <si>
    <t>OST</t>
  </si>
  <si>
    <t>Kasum materiaalse põhivara müügist</t>
  </si>
  <si>
    <t>Viivised</t>
  </si>
  <si>
    <t>Muud äritulud (kokku)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</si>
  <si>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  <charset val="186"/>
      </rPr>
      <t/>
    </r>
  </si>
  <si>
    <t>sh võetud vee teenuse tarbimiseks liitunud füüsilistest isikutest abonentide arv</t>
  </si>
  <si>
    <t>sh võetud vee teenuse tarbimiseks liitunud juriidilistest isikutest abonentide arv</t>
  </si>
  <si>
    <t>sh reovee ärajuhtimise ja puhastamise teenusega liitunud füüsilistest isikutest abonentide arv</t>
  </si>
  <si>
    <t>sh reovee ärajuhtimise ja puhastamise teenusega liitunud juriidilistest isikutest abonentide arv</t>
  </si>
  <si>
    <t>Tellitud ajakirjandus</t>
  </si>
  <si>
    <t>Liitumistasu Eesti Energiale</t>
  </si>
  <si>
    <t>2.2.21.3</t>
  </si>
  <si>
    <t>2.2.21.4</t>
  </si>
  <si>
    <t>2.2.21.5</t>
  </si>
  <si>
    <t>2.2.21.6</t>
  </si>
  <si>
    <t>Tulumaks ülenormatiivselt saastetasult</t>
  </si>
  <si>
    <t>Vastuvõtukulud</t>
  </si>
  <si>
    <t>2.4.6</t>
  </si>
  <si>
    <t>2.4.7</t>
  </si>
  <si>
    <t>Intressitulud</t>
  </si>
  <si>
    <t>€/kWh</t>
  </si>
  <si>
    <t>allkirjastatud digitaalselt</t>
  </si>
  <si>
    <t>Tasu võetud vee eest füüsilistele isikutele</t>
  </si>
  <si>
    <t>Tasu võetud vee eest juriidilistele isikutele</t>
  </si>
  <si>
    <t>Tasu reovee ärajuhtimise ja puhastamise eest füüsilistele isikutele</t>
  </si>
  <si>
    <t>Tasu reovee ärajuhtimise ja puhastamise eest juriidilistele isikutele</t>
  </si>
  <si>
    <t>1.2.5</t>
  </si>
  <si>
    <t>1.2.6</t>
  </si>
  <si>
    <t>1.2.7</t>
  </si>
  <si>
    <t>1.2.8</t>
  </si>
  <si>
    <t>-</t>
  </si>
  <si>
    <t>2.2.24.5</t>
  </si>
  <si>
    <t>Puhkusereservi vähenemine</t>
  </si>
  <si>
    <t>Tulu sihtfinantseerimisest</t>
  </si>
  <si>
    <t>Liik</t>
  </si>
  <si>
    <r>
      <t>m</t>
    </r>
    <r>
      <rPr>
        <vertAlign val="superscript"/>
        <sz val="10"/>
        <rFont val="Arial"/>
        <family val="2"/>
        <charset val="186"/>
      </rPr>
      <t>3</t>
    </r>
    <r>
      <rPr>
        <sz val="11"/>
        <color indexed="8"/>
        <rFont val="Times New Roman"/>
        <family val="2"/>
        <charset val="186"/>
      </rPr>
      <t/>
    </r>
  </si>
  <si>
    <r>
      <t>m</t>
    </r>
    <r>
      <rPr>
        <b/>
        <vertAlign val="superscript"/>
        <sz val="10"/>
        <rFont val="Arial"/>
        <family val="2"/>
        <charset val="186"/>
      </rPr>
      <t>3</t>
    </r>
  </si>
  <si>
    <r>
      <t>m</t>
    </r>
    <r>
      <rPr>
        <vertAlign val="superscript"/>
        <sz val="10"/>
        <rFont val="Arial"/>
        <family val="2"/>
        <charset val="186"/>
      </rPr>
      <t>3</t>
    </r>
  </si>
  <si>
    <r>
      <t>Investeeringu tabelis palun kajastada lisaks investeeringutele mat. põhivarasse ka immateriaalse põhivara osas, mis puudutab</t>
    </r>
    <r>
      <rPr>
        <b/>
        <sz val="10"/>
        <color indexed="8"/>
        <rFont val="Arial"/>
        <family val="2"/>
        <charset val="186"/>
      </rPr>
      <t xml:space="preserve"> litsentse, arvutiprogramme</t>
    </r>
    <r>
      <rPr>
        <sz val="10"/>
        <color indexed="8"/>
        <rFont val="Arial"/>
        <family val="2"/>
        <charset val="186"/>
      </rPr>
      <t>.</t>
    </r>
  </si>
  <si>
    <r>
      <t>Põhivarade tabelis palun kajastada lisaks materiaalsele põhivarale ka immateriaalne põhivara osas, mis puudutab</t>
    </r>
    <r>
      <rPr>
        <b/>
        <sz val="11"/>
        <color rgb="FFFF0000"/>
        <rFont val="Arial"/>
        <family val="2"/>
        <charset val="186"/>
      </rPr>
      <t xml:space="preserve"> litsentse, arvutiprogramme</t>
    </r>
    <r>
      <rPr>
        <sz val="11"/>
        <color rgb="FFFF0000"/>
        <rFont val="Arial"/>
        <family val="2"/>
        <charset val="186"/>
      </rPr>
      <t>.</t>
    </r>
  </si>
  <si>
    <t>võrgustikud, torustikud</t>
  </si>
  <si>
    <t>kontroll (vahe):</t>
  </si>
  <si>
    <t>Amet</t>
  </si>
  <si>
    <t>VESI</t>
  </si>
  <si>
    <t>Kogus (tonn)</t>
  </si>
  <si>
    <t>Hind (€/tonn)</t>
  </si>
  <si>
    <t>Kogus (kg)</t>
  </si>
  <si>
    <t>Hind (€/kg)</t>
  </si>
  <si>
    <t>Kemikaalide kulu kokku</t>
  </si>
  <si>
    <t>Kemikaali kulu</t>
  </si>
  <si>
    <t>vahe:</t>
  </si>
  <si>
    <t>Põhivara kulum (ettev. vahenditest soet. vara)</t>
  </si>
  <si>
    <t>Pea- kaitse (A)</t>
  </si>
  <si>
    <t>Taastuv- energia tasu €</t>
  </si>
  <si>
    <t>Elektri- aktsiis €</t>
  </si>
  <si>
    <t>päev</t>
  </si>
  <si>
    <t>öö</t>
  </si>
  <si>
    <t>Elektrikulu.</t>
  </si>
  <si>
    <t>Tarbitud elektrienergia kWh</t>
  </si>
  <si>
    <t>Elektrien. tarbimise prognoos kWh</t>
  </si>
  <si>
    <t>vesi</t>
  </si>
  <si>
    <t>sh muu tegevus</t>
  </si>
  <si>
    <r>
      <t>€/m</t>
    </r>
    <r>
      <rPr>
        <vertAlign val="superscript"/>
        <sz val="10"/>
        <rFont val="Arial"/>
        <family val="2"/>
        <charset val="186"/>
      </rPr>
      <t>3</t>
    </r>
  </si>
  <si>
    <t>Müügimaht (m³)</t>
  </si>
  <si>
    <t>reovesi</t>
  </si>
  <si>
    <t>Käibekapital</t>
  </si>
  <si>
    <t>Kogus</t>
  </si>
  <si>
    <t>grupp 1</t>
  </si>
  <si>
    <t>grupp 2</t>
  </si>
  <si>
    <t>grupp 3</t>
  </si>
  <si>
    <t>grupp 4</t>
  </si>
  <si>
    <t>grupp 5</t>
  </si>
  <si>
    <t>grupp 6</t>
  </si>
  <si>
    <t>grupp 7</t>
  </si>
  <si>
    <t>grupp 8</t>
  </si>
  <si>
    <t>Rendi- ja üüritulu</t>
  </si>
  <si>
    <t>Liitumistasude amortisatioon</t>
  </si>
  <si>
    <t>Ettemakstud liitumistasude käesoleva perioodi tulu</t>
  </si>
  <si>
    <t>Tulu hankijale tasumata arvest</t>
  </si>
  <si>
    <t>Kindlustushüvitis</t>
  </si>
  <si>
    <t>Elektrienergia kulu</t>
  </si>
  <si>
    <t>Muud majanduskulud (valve, prügi)</t>
  </si>
  <si>
    <t>Küte ja soojusenegia</t>
  </si>
  <si>
    <t>Muud sisseostetud teenused</t>
  </si>
  <si>
    <t>Tööjõukulu kapitaliseerimine</t>
  </si>
  <si>
    <t>2.2.21.7</t>
  </si>
  <si>
    <t>2.2.21.8</t>
  </si>
  <si>
    <t>2.2.25</t>
  </si>
  <si>
    <t>Maksumaksjate Liit</t>
  </si>
  <si>
    <t>Aruaru</t>
  </si>
  <si>
    <t>Haljava</t>
  </si>
  <si>
    <t>Iru</t>
  </si>
  <si>
    <t>Jägala Golf</t>
  </si>
  <si>
    <t>Jägala küla</t>
  </si>
  <si>
    <t>Kaberneeme</t>
  </si>
  <si>
    <t>Lagedi mõis</t>
  </si>
  <si>
    <t>Loo II</t>
  </si>
  <si>
    <t>Maardu mõis</t>
  </si>
  <si>
    <t>Männisalu</t>
  </si>
  <si>
    <t>Neeme</t>
  </si>
  <si>
    <t>Nehatu</t>
  </si>
  <si>
    <t>Rebala</t>
  </si>
  <si>
    <t>Tellivere kanala</t>
  </si>
  <si>
    <t>Võerdla</t>
  </si>
  <si>
    <t>Ülgase</t>
  </si>
  <si>
    <t>Väljalaske nimetus</t>
  </si>
  <si>
    <t>Veehaare</t>
  </si>
  <si>
    <t>Kvartal</t>
  </si>
  <si>
    <t>I</t>
  </si>
  <si>
    <t>Suubla koef.</t>
  </si>
  <si>
    <t>O-C</t>
  </si>
  <si>
    <t>C-V</t>
  </si>
  <si>
    <t>II</t>
  </si>
  <si>
    <t>III</t>
  </si>
  <si>
    <t>IV</t>
  </si>
  <si>
    <t>Kostivere</t>
  </si>
  <si>
    <t>Jõelähtme jõgi</t>
  </si>
  <si>
    <t>Maardu</t>
  </si>
  <si>
    <t>Tellivere</t>
  </si>
  <si>
    <t>Saha</t>
  </si>
  <si>
    <t>Kaberneeme laht</t>
  </si>
  <si>
    <t>Jägala jõgi</t>
  </si>
  <si>
    <t>Heljum</t>
  </si>
  <si>
    <t>Nafta</t>
  </si>
  <si>
    <t>Nüld</t>
  </si>
  <si>
    <t>Püld</t>
  </si>
  <si>
    <t>Fenoolid</t>
  </si>
  <si>
    <t>sh Kostivere</t>
  </si>
  <si>
    <t>sh Maardu</t>
  </si>
  <si>
    <t>sh Tellivere</t>
  </si>
  <si>
    <t>sh Saha</t>
  </si>
  <si>
    <t>Neeme vesi</t>
  </si>
  <si>
    <t>Kogus (liiter)</t>
  </si>
  <si>
    <t>Hind (€/l)</t>
  </si>
  <si>
    <t>Kostivere kanal-puhasti</t>
  </si>
  <si>
    <t>Neeme kanal-puhasti</t>
  </si>
  <si>
    <t>Kaberneeme vesi</t>
  </si>
  <si>
    <t>Nehatu vesi</t>
  </si>
  <si>
    <t>Loo vesi</t>
  </si>
  <si>
    <t>7.4</t>
  </si>
  <si>
    <t>Jägala</t>
  </si>
  <si>
    <t>Loo</t>
  </si>
  <si>
    <t>Liivamäe</t>
  </si>
  <si>
    <t>Loo Elekter</t>
  </si>
  <si>
    <t>Lagedi</t>
  </si>
  <si>
    <t>Maardumõisa</t>
  </si>
  <si>
    <t>Biopuhasti</t>
  </si>
  <si>
    <t>Sillaotsa</t>
  </si>
  <si>
    <t>Jõelähtme</t>
  </si>
  <si>
    <t>Manniva</t>
  </si>
  <si>
    <t>Oleki laut</t>
  </si>
  <si>
    <t>Talismaa TÜ</t>
  </si>
  <si>
    <t>Kallavere</t>
  </si>
  <si>
    <t>Jõelähtme tee 8</t>
  </si>
  <si>
    <t>Haljava vesi</t>
  </si>
  <si>
    <t>Kostivere vesi</t>
  </si>
  <si>
    <t>Iru vesi</t>
  </si>
  <si>
    <t>Reoveepuhastuse kemikaalid</t>
  </si>
  <si>
    <t>Veepuhastuse kemikaalid</t>
  </si>
  <si>
    <t>Ämma tee 2 B</t>
  </si>
  <si>
    <t>Jõe 2F</t>
  </si>
  <si>
    <t>Kütusekulu</t>
  </si>
  <si>
    <t>Transp. vahendite remont</t>
  </si>
  <si>
    <t>Parkimine, ülevaatus</t>
  </si>
  <si>
    <t>Auto, -kraana ja ekskavaatoritööd</t>
  </si>
  <si>
    <t>Loo Vesi OÜ</t>
  </si>
  <si>
    <t>Saha tee 9F, Loo alevik, Jõelähtme vald 74201 Harjumaa</t>
  </si>
  <si>
    <t>608 0677</t>
  </si>
  <si>
    <t>info@loovesi.ee</t>
  </si>
  <si>
    <t>38ZEE-00676945-H</t>
  </si>
  <si>
    <t>38ZEE-00307882-8</t>
  </si>
  <si>
    <t>38ZEE-00319881-T</t>
  </si>
  <si>
    <t>38ZEE-00319882-Q</t>
  </si>
  <si>
    <t>38ZEE-00452777-Q</t>
  </si>
  <si>
    <t>38ZEE-00452882-W</t>
  </si>
  <si>
    <t>38ZEE-00676942-Q</t>
  </si>
  <si>
    <t>38ZEE-00676947-B</t>
  </si>
  <si>
    <t>38ZEE-00695739-B</t>
  </si>
  <si>
    <t>38ZEE-00703893-U</t>
  </si>
  <si>
    <t>38ZEE-00703895-O</t>
  </si>
  <si>
    <t>38ZEE-00703896-L</t>
  </si>
  <si>
    <t>38ZEE-00715891-H</t>
  </si>
  <si>
    <t>38ZEE-0600018F-G</t>
  </si>
  <si>
    <t>38ZEE-060001DH-R</t>
  </si>
  <si>
    <t>38ZEE-060001FN-1</t>
  </si>
  <si>
    <t>38ZEE-060001FT-K</t>
  </si>
  <si>
    <t>38ZEE-060001JX-T</t>
  </si>
  <si>
    <t>38ZEE-060001KD-B</t>
  </si>
  <si>
    <t>38ZEE-06000782-P</t>
  </si>
  <si>
    <t>38ZEE-00319877-F</t>
  </si>
  <si>
    <t>38ZEE-00319878-C</t>
  </si>
  <si>
    <t>38ZEE-00319879-9</t>
  </si>
  <si>
    <t>38ZEE-00319880-W</t>
  </si>
  <si>
    <t>38ZEE-00319890-S</t>
  </si>
  <si>
    <t>38ZEE-00327990-S</t>
  </si>
  <si>
    <t>38ZEE-00423508-2</t>
  </si>
  <si>
    <t>38ZEE-00676946-E</t>
  </si>
  <si>
    <t>38ZEE-00712755-7</t>
  </si>
  <si>
    <t>38ZEE-06000015-5</t>
  </si>
  <si>
    <t>38ZEE-0600001M-S</t>
  </si>
  <si>
    <t>38ZEE-0600010H-5</t>
  </si>
  <si>
    <t>38ZEE-0600012A-I</t>
  </si>
  <si>
    <t>38ZEE-0600012E-6</t>
  </si>
  <si>
    <t>38ZEE-0600013J-O</t>
  </si>
  <si>
    <t>38ZEE-0600017G-H</t>
  </si>
  <si>
    <t>38ZEE-06000181-L</t>
  </si>
  <si>
    <t>Kuusiku tee, Lindström</t>
  </si>
  <si>
    <t>38ZEE-06000183-F</t>
  </si>
  <si>
    <t>38ZEE-06000189-Y</t>
  </si>
  <si>
    <t>38ZEE-0600018B-S</t>
  </si>
  <si>
    <t>38ZEE-0600018E-J</t>
  </si>
  <si>
    <t>38ZEE-060001CM-G</t>
  </si>
  <si>
    <t>Mõõtepunkti EIC kood</t>
  </si>
  <si>
    <t>38ZEE-060001FH-J</t>
  </si>
  <si>
    <t>38ZEE-060001FI-G</t>
  </si>
  <si>
    <t>38ZEE-060001FR-Q</t>
  </si>
  <si>
    <t>38ZEE-060001HC-Q</t>
  </si>
  <si>
    <t>38ZEE-060001K4-1</t>
  </si>
  <si>
    <t>Aali tee 18A</t>
  </si>
  <si>
    <t>38ZEE-060001K8-Q</t>
  </si>
  <si>
    <t>38ZEE-060001KB-H</t>
  </si>
  <si>
    <t>38ZEE-060001KC-E</t>
  </si>
  <si>
    <t>38ZEE-06000348-6</t>
  </si>
  <si>
    <t>38ZEE-060001FG-M</t>
  </si>
  <si>
    <t>38ZEE-06000303-0</t>
  </si>
  <si>
    <t>Enne hinna rakendamist kooskõlastatavate hindadega teenuse müük.</t>
  </si>
  <si>
    <t>Võrgu- operaator</t>
  </si>
  <si>
    <t>Elektrilevi</t>
  </si>
  <si>
    <t>Aruküla tee 5</t>
  </si>
  <si>
    <t>Lagedi vesi</t>
  </si>
  <si>
    <t>Liivakandi tee</t>
  </si>
  <si>
    <t>Vanasauna tee pumpla</t>
  </si>
  <si>
    <t>Vesi laudad</t>
  </si>
  <si>
    <t>Võrgu- teenuse pakett</t>
  </si>
  <si>
    <t>Võrk 1</t>
  </si>
  <si>
    <t>Võrk 2</t>
  </si>
  <si>
    <t>Asukoha täpsustus</t>
  </si>
  <si>
    <t>Asukoht</t>
  </si>
  <si>
    <t>Võrk 4</t>
  </si>
  <si>
    <t>M6</t>
  </si>
  <si>
    <t>M4</t>
  </si>
  <si>
    <t>M3</t>
  </si>
  <si>
    <t>Tarbijate poolt tasutud vee- liitumised</t>
  </si>
  <si>
    <t>Saha tee 18 (tööstus)</t>
  </si>
  <si>
    <t>Suurekivi põik 2</t>
  </si>
  <si>
    <t>38ZEE-00450992-Z</t>
  </si>
  <si>
    <t>Reaktiiven. (kvarh)</t>
  </si>
  <si>
    <t>tarbi- mine</t>
  </si>
  <si>
    <t>võrku andm.</t>
  </si>
  <si>
    <t>Võrgutasu</t>
  </si>
  <si>
    <t>põhi</t>
  </si>
  <si>
    <t>sh jaotuse kontroll</t>
  </si>
  <si>
    <t>WACC</t>
  </si>
  <si>
    <t>Tasu sõltuvalt reostatusest juriidilistele isikutele</t>
  </si>
  <si>
    <t>ÜVVKS § 14 lg 1 p 2 ja 3 sätestatud tasu sõltuvalt reostatusest</t>
  </si>
  <si>
    <t>Kokku muud ärikulud</t>
  </si>
  <si>
    <t>kehtiv hind</t>
  </si>
  <si>
    <t>muutus</t>
  </si>
  <si>
    <t>Kuupäev:</t>
  </si>
  <si>
    <t>Tegevuspiirkonna kirjeldus:</t>
  </si>
  <si>
    <t>Otsuse kättetoimetamise viis (näiteks e-mail, jne):</t>
  </si>
  <si>
    <t>Müüdud, likvideeritud põhivara (jääkm.)</t>
  </si>
  <si>
    <t>2.3.5</t>
  </si>
  <si>
    <t>Muu</t>
  </si>
  <si>
    <t>8.4</t>
  </si>
  <si>
    <t>8.5</t>
  </si>
  <si>
    <t>maj. aasta aruandes:</t>
  </si>
  <si>
    <t>Männisalu vesi</t>
  </si>
  <si>
    <t>Rebala vesi</t>
  </si>
  <si>
    <t>Saha vesi</t>
  </si>
  <si>
    <t>Manniva Golf</t>
  </si>
  <si>
    <t>Aru-Aru</t>
  </si>
  <si>
    <t>Lepa kraav</t>
  </si>
  <si>
    <t>Tellivere kraav</t>
  </si>
  <si>
    <t>Lustimäe kraav</t>
  </si>
  <si>
    <t>Tihi kraav</t>
  </si>
  <si>
    <t>Kostiv. Kooli I</t>
  </si>
  <si>
    <t>Loo Keskuse I</t>
  </si>
  <si>
    <t>Loo Keskuse II</t>
  </si>
  <si>
    <t>Loo Keskuse III</t>
  </si>
  <si>
    <t>Loo Lindtröm I</t>
  </si>
  <si>
    <t>Loo spordihoone</t>
  </si>
  <si>
    <t>Loo tööstus I</t>
  </si>
  <si>
    <t>Saha kanala III</t>
  </si>
  <si>
    <t>Saha kanala I</t>
  </si>
  <si>
    <t>Uusküla</t>
  </si>
  <si>
    <t>Kostiv,Kooli I</t>
  </si>
  <si>
    <t>Kostiv. Kooli II</t>
  </si>
  <si>
    <t>Loo Lindström I</t>
  </si>
  <si>
    <t>Loo Spordihoone</t>
  </si>
  <si>
    <t>Loo Tööstus I</t>
  </si>
  <si>
    <t>Kostiv,Kooli II</t>
  </si>
  <si>
    <t>Kostivere (reservis)</t>
  </si>
  <si>
    <t>LooLindström II</t>
  </si>
  <si>
    <t>LooLindström I</t>
  </si>
  <si>
    <t>LooLindströmII</t>
  </si>
  <si>
    <t>LooSpordihoone</t>
  </si>
  <si>
    <t>LooTööstus I</t>
  </si>
  <si>
    <t>Pääsusilm</t>
  </si>
  <si>
    <t>Loo Lindstr. I</t>
  </si>
  <si>
    <t>Kanakraav</t>
  </si>
  <si>
    <t>Loo sadevesi 2</t>
  </si>
  <si>
    <t>Vadioja</t>
  </si>
  <si>
    <t>Loo sadevesi 1</t>
  </si>
  <si>
    <t>taotluse digiallkirjastamise kuupäev</t>
  </si>
  <si>
    <t>muutus eelmise aastaga võrreldes</t>
  </si>
  <si>
    <t>Uusküla VK torustikud ja VTJ</t>
  </si>
  <si>
    <t>Notaritasud</t>
  </si>
  <si>
    <t>Õigusabi kulud</t>
  </si>
  <si>
    <t>Auditeerimine</t>
  </si>
  <si>
    <t>Juhatuse liikme tasud</t>
  </si>
  <si>
    <t>Personaliotsingu teenus</t>
  </si>
  <si>
    <t>Hindreku</t>
  </si>
  <si>
    <t>Laheranna</t>
  </si>
  <si>
    <t>Laheranna vesi</t>
  </si>
  <si>
    <t>38ZEE-00726815-O</t>
  </si>
  <si>
    <t>1.1.13</t>
  </si>
  <si>
    <t>Multiliftauto reoveepaagi ja kastiga</t>
  </si>
  <si>
    <t>Kostivere vesi+kanal II etapp</t>
  </si>
  <si>
    <t>Kaberneeme veetorustikud II etapi I osa (koguinv. 282 650 €)</t>
  </si>
  <si>
    <t>9.3.4</t>
  </si>
  <si>
    <t>Hindreku vesi</t>
  </si>
  <si>
    <t>EVELi liikmemaks</t>
  </si>
  <si>
    <t>Uusküla vesi</t>
  </si>
  <si>
    <t xml:space="preserve">Rebala </t>
  </si>
  <si>
    <r>
      <t>Raud (III) sulfaat, PIX 115E</t>
    </r>
    <r>
      <rPr>
        <sz val="11"/>
        <rFont val="Calibri"/>
        <family val="2"/>
        <charset val="186"/>
        <scheme val="minor"/>
      </rPr>
      <t>, fosfori ärastus</t>
    </r>
  </si>
  <si>
    <r>
      <t>Kaaliumpermanganaat KM</t>
    </r>
    <r>
      <rPr>
        <b/>
        <vertAlign val="subscript"/>
        <sz val="11"/>
        <rFont val="Calibri"/>
        <family val="2"/>
        <charset val="186"/>
        <scheme val="minor"/>
      </rPr>
      <t>n</t>
    </r>
    <r>
      <rPr>
        <b/>
        <sz val="11"/>
        <rFont val="Calibri"/>
        <family val="2"/>
        <charset val="186"/>
        <scheme val="minor"/>
      </rPr>
      <t>O</t>
    </r>
    <r>
      <rPr>
        <b/>
        <vertAlign val="subscript"/>
        <sz val="11"/>
        <rFont val="Calibri"/>
        <family val="2"/>
        <charset val="186"/>
        <scheme val="minor"/>
      </rPr>
      <t>4</t>
    </r>
    <r>
      <rPr>
        <sz val="11"/>
        <rFont val="Calibri"/>
        <family val="2"/>
        <charset val="186"/>
        <scheme val="minor"/>
      </rPr>
      <t>, veetöötluse kulumaterjal</t>
    </r>
  </si>
  <si>
    <r>
      <t>Filtrisool</t>
    </r>
    <r>
      <rPr>
        <sz val="11"/>
        <rFont val="Calibri"/>
        <family val="2"/>
        <charset val="186"/>
        <scheme val="minor"/>
      </rPr>
      <t>, veetöötluse kulumaterjal</t>
    </r>
  </si>
  <si>
    <r>
      <t>Naatriumhüdroksiid NaOH</t>
    </r>
    <r>
      <rPr>
        <sz val="11"/>
        <rFont val="Calibri"/>
        <family val="2"/>
        <charset val="186"/>
        <scheme val="minor"/>
      </rPr>
      <t>, veetöötluse kulumaterjal</t>
    </r>
  </si>
  <si>
    <r>
      <t>Flamil CSR ext.desinf.</t>
    </r>
    <r>
      <rPr>
        <sz val="11"/>
        <rFont val="Calibri"/>
        <family val="2"/>
        <charset val="186"/>
        <scheme val="minor"/>
      </rPr>
      <t>, veepumplate reservuaaride desinfitseerimine</t>
    </r>
  </si>
  <si>
    <r>
      <t>Naatriumhüpokloriit</t>
    </r>
    <r>
      <rPr>
        <sz val="11"/>
        <rFont val="Calibri"/>
        <family val="2"/>
        <charset val="186"/>
        <scheme val="minor"/>
      </rPr>
      <t>, veetöötluse kulumaterjal</t>
    </r>
  </si>
  <si>
    <t>Vanasauna tee Vanasauna pumpla</t>
  </si>
  <si>
    <t>38ZEE-00721791-2</t>
  </si>
  <si>
    <t>38ZEE-00732369-Y</t>
  </si>
  <si>
    <t>Uusküla VK rek. ja laiendus</t>
  </si>
  <si>
    <t>Ämma tee, Iru, reoveepumpla</t>
  </si>
  <si>
    <t>tuulikki@laesson.ee</t>
  </si>
  <si>
    <t>Tuulikki Laesson</t>
  </si>
  <si>
    <t>Tuulikki Laesson, juhatuse liige</t>
  </si>
  <si>
    <t>38ZEE-00732644-5</t>
  </si>
  <si>
    <t>Ihasalu</t>
  </si>
  <si>
    <t>38ZEE-00713897-B</t>
  </si>
  <si>
    <t>38ZEE-00713899-5</t>
  </si>
  <si>
    <t>38ZEE-00713900-Q</t>
  </si>
  <si>
    <t>Kivineeme pumpla</t>
  </si>
  <si>
    <t>38ZEE-00258173-B</t>
  </si>
  <si>
    <t>38ZEE-00442078-S</t>
  </si>
  <si>
    <t>Ämma tee lõik, 3</t>
  </si>
  <si>
    <t>38ZEE-00712429-M</t>
  </si>
  <si>
    <t>Loo tee Antsu pumpla</t>
  </si>
  <si>
    <t>38ZEE-0600010V-0</t>
  </si>
  <si>
    <t>Aruküla tee LK1</t>
  </si>
  <si>
    <t>38ZEE-06000888-2</t>
  </si>
  <si>
    <t>Mõisa tee 2/1</t>
  </si>
  <si>
    <t>38ZEE-06000882-K</t>
  </si>
  <si>
    <t>Ambulatooriumi pumpla</t>
  </si>
  <si>
    <t>38ZEE-06000880-Q</t>
  </si>
  <si>
    <t>Seene pumpla</t>
  </si>
  <si>
    <t>38ZEE-06000881-N</t>
  </si>
  <si>
    <t>Tellivere kanalisatsioon</t>
  </si>
  <si>
    <t>Veskimäe biopuhasti</t>
  </si>
  <si>
    <t>ülepumpla, biofilter</t>
  </si>
  <si>
    <t>Kaubik 1 tk (elektrik-automaatik)</t>
  </si>
  <si>
    <t>Haljava veetorustiku rek</t>
  </si>
  <si>
    <t>Neeme, Ihasalu tee veetorustik</t>
  </si>
  <si>
    <t>Kaberneeme pumpla, veetöötlus</t>
  </si>
  <si>
    <t>kasutusiga</t>
  </si>
  <si>
    <t>Neeme purgimiskoht ja reoveepuhasti rek.</t>
  </si>
  <si>
    <t>Oja tee</t>
  </si>
  <si>
    <t>Hindreku veetöötlusjaam (hoone)</t>
  </si>
  <si>
    <t>Hindreku veetöötlusjaam (seadmed)</t>
  </si>
  <si>
    <t>Kaberneeme veetöötluse laiendus (seadmed)</t>
  </si>
  <si>
    <t>Kaberneeme veetöötluse laiendus (hoone)</t>
  </si>
  <si>
    <t>Neeme purgimiskoht ja reoveepuhasti rek. (seadmed)</t>
  </si>
  <si>
    <t>Neeme purgimiskoht ja reoveepuhasti rek. (torustikud ja hoone)</t>
  </si>
  <si>
    <t>7-10%</t>
  </si>
  <si>
    <t>10-20%</t>
  </si>
  <si>
    <t>38ZEE-00752676-A</t>
  </si>
  <si>
    <t>Mõisa tee 7</t>
  </si>
  <si>
    <t>38ZEE-06001112-3</t>
  </si>
  <si>
    <t>sh Tallinna Vesi reoveepuhasti</t>
  </si>
  <si>
    <t>sh Viimsi Vesi reoveepuhasti</t>
  </si>
  <si>
    <t>kulu pole</t>
  </si>
  <si>
    <t>Vesi (Tallinna Vesi)</t>
  </si>
  <si>
    <t>Reovee ärajuhtimine ja puhastamine (Tallinna Vesi)</t>
  </si>
  <si>
    <t>Reovee ärajuhtimine ja puhastamine (Viimsi Vesi)</t>
  </si>
  <si>
    <t>1</t>
  </si>
  <si>
    <t>2.5</t>
  </si>
  <si>
    <t>2.6</t>
  </si>
  <si>
    <t>2.7</t>
  </si>
  <si>
    <t>2.8</t>
  </si>
  <si>
    <t>2.9</t>
  </si>
  <si>
    <t>2.10</t>
  </si>
  <si>
    <t>5.1</t>
  </si>
  <si>
    <t>5.2</t>
  </si>
  <si>
    <t>5.3</t>
  </si>
  <si>
    <t>5.4</t>
  </si>
  <si>
    <t>5.5</t>
  </si>
  <si>
    <t>6</t>
  </si>
  <si>
    <t>6.3</t>
  </si>
  <si>
    <t>6.4</t>
  </si>
  <si>
    <r>
      <t>m</t>
    </r>
    <r>
      <rPr>
        <b/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  <charset val="186"/>
      </rPr>
      <t/>
    </r>
  </si>
  <si>
    <t>8</t>
  </si>
  <si>
    <t>9</t>
  </si>
  <si>
    <t>10</t>
  </si>
  <si>
    <t>9.4</t>
  </si>
  <si>
    <t>10.1</t>
  </si>
  <si>
    <t>10.2</t>
  </si>
  <si>
    <t>10.3</t>
  </si>
  <si>
    <t>11</t>
  </si>
  <si>
    <t>11.1</t>
  </si>
  <si>
    <t>11.2</t>
  </si>
  <si>
    <t>11.3</t>
  </si>
  <si>
    <t>inim.</t>
  </si>
  <si>
    <t>Vesi (OmaKoduMaja)</t>
  </si>
  <si>
    <t>Kaubik 1 tk (lukksepp-santehnik)</t>
  </si>
  <si>
    <t>Liivamäe veetorustiku ringistamine</t>
  </si>
  <si>
    <t>Torulaser, el.keevitus</t>
  </si>
  <si>
    <t>Vanapere veetorustik</t>
  </si>
  <si>
    <t>Nehatu RVP kontroller</t>
  </si>
  <si>
    <t>Liivakandi tee sadeveetorustik</t>
  </si>
  <si>
    <t>Nehatu kanal.survetrassi täiustamine</t>
  </si>
  <si>
    <t>Loo reoveepumplate rek.</t>
  </si>
  <si>
    <t>Nõukogu ja juhatuse liikmed</t>
  </si>
  <si>
    <t>Keskastme spetsialistid</t>
  </si>
  <si>
    <t>Töölised</t>
  </si>
  <si>
    <t>Võlaõiguslikud lepingud</t>
  </si>
  <si>
    <t>Keskmine töötajate arv</t>
  </si>
  <si>
    <t>Töötasu</t>
  </si>
  <si>
    <t>Põhipalk ja kokkulepitud tasud</t>
  </si>
  <si>
    <t>Boonused</t>
  </si>
  <si>
    <t>Hüvitised ja toetused</t>
  </si>
  <si>
    <t>Keskmine töötasu</t>
  </si>
  <si>
    <t>Töötasu KOKKU</t>
  </si>
  <si>
    <t>MUU TEGEVUS</t>
  </si>
  <si>
    <t>sh reguleeritud veeteenustele:</t>
  </si>
  <si>
    <t>sh muudele teenustele:</t>
  </si>
  <si>
    <t>sh reguleeritud veeteenustele</t>
  </si>
  <si>
    <t>sh muudele teenustele</t>
  </si>
  <si>
    <t>PALGAKULUD KOKKU</t>
  </si>
  <si>
    <t>Ülgase vesi</t>
  </si>
  <si>
    <t>Kogus (tk)</t>
  </si>
  <si>
    <t>Hind (€/tk)</t>
  </si>
  <si>
    <t>Mangaani kiirtesti komplektid HI93748-01</t>
  </si>
  <si>
    <t>Kasutus- võim. (aasta)</t>
  </si>
  <si>
    <t>Elektrienergia hind (€/kWh)</t>
  </si>
  <si>
    <t>Kulu elektrienergiale teenuste kaupa €</t>
  </si>
  <si>
    <t>läbil. võime (€/kW kuu)</t>
  </si>
  <si>
    <t>läbil. võime (€/A kuu)</t>
  </si>
  <si>
    <t>kuutasu (€/kuu)</t>
  </si>
  <si>
    <t>reaktiiv. (€/kvarh)</t>
  </si>
  <si>
    <t>kasut. võim. (€/kW kuu)</t>
  </si>
  <si>
    <t>tarb.</t>
  </si>
  <si>
    <t>andm.</t>
  </si>
  <si>
    <t>V</t>
  </si>
  <si>
    <t>R</t>
  </si>
  <si>
    <t>jaotuse kontroll</t>
  </si>
  <si>
    <t>Elektrienergia tarbimine kokku:</t>
  </si>
  <si>
    <t>osakaal</t>
  </si>
  <si>
    <t>Muu tegevuse elekter:</t>
  </si>
  <si>
    <t>Purgimise elekter:</t>
  </si>
  <si>
    <t>Veeteenuste osutamise elekter sum:</t>
  </si>
  <si>
    <r>
      <t>VESI (m</t>
    </r>
    <r>
      <rPr>
        <vertAlign val="superscript"/>
        <sz val="11"/>
        <rFont val="Calibri"/>
        <family val="2"/>
        <charset val="186"/>
        <scheme val="minor"/>
      </rPr>
      <t>3</t>
    </r>
    <r>
      <rPr>
        <sz val="11"/>
        <rFont val="Calibri"/>
        <family val="2"/>
        <charset val="186"/>
        <scheme val="minor"/>
      </rPr>
      <t>):</t>
    </r>
  </si>
  <si>
    <r>
      <t>REOVESI (m</t>
    </r>
    <r>
      <rPr>
        <vertAlign val="superscript"/>
        <sz val="11"/>
        <rFont val="Calibri"/>
        <family val="2"/>
        <charset val="186"/>
        <scheme val="minor"/>
      </rPr>
      <t>3</t>
    </r>
    <r>
      <rPr>
        <sz val="11"/>
        <rFont val="Calibri"/>
        <family val="2"/>
        <charset val="186"/>
        <scheme val="minor"/>
      </rPr>
      <t>):</t>
    </r>
  </si>
  <si>
    <r>
      <t>Katlakivi inhibiitor Pallas 200/6-AF</t>
    </r>
    <r>
      <rPr>
        <sz val="11"/>
        <rFont val="Calibri"/>
        <family val="2"/>
        <charset val="186"/>
        <scheme val="minor"/>
      </rPr>
      <t xml:space="preserve"> (hind €/l), </t>
    </r>
    <r>
      <rPr>
        <b/>
        <sz val="11"/>
        <rFont val="Calibri"/>
        <family val="2"/>
        <charset val="186"/>
        <scheme val="minor"/>
      </rPr>
      <t>ParmaScale</t>
    </r>
    <r>
      <rPr>
        <sz val="11"/>
        <rFont val="Calibri"/>
        <family val="2"/>
        <charset val="186"/>
        <scheme val="minor"/>
      </rPr>
      <t xml:space="preserve"> (hind €/kg), katlakivi eemaldamine</t>
    </r>
  </si>
  <si>
    <t>Kogus (liiter või kg)</t>
  </si>
  <si>
    <t>Hind (€/l või €/kg)</t>
  </si>
  <si>
    <t>Reovee ärajuhtimine ja puhastamine</t>
  </si>
  <si>
    <t>Veeteenus</t>
  </si>
  <si>
    <r>
      <t>m</t>
    </r>
    <r>
      <rPr>
        <b/>
        <vertAlign val="superscript"/>
        <sz val="10"/>
        <rFont val="Arial"/>
        <family val="2"/>
        <charset val="186"/>
      </rPr>
      <t>3</t>
    </r>
    <r>
      <rPr>
        <sz val="11"/>
        <color indexed="8"/>
        <rFont val="Times New Roman"/>
        <family val="2"/>
        <charset val="186"/>
      </rPr>
      <t/>
    </r>
  </si>
  <si>
    <t>Reverseeritav vibroplaat</t>
  </si>
  <si>
    <t>Kostivere,Urke 4 veetrass</t>
  </si>
  <si>
    <t>Hüdroluugiga konteiner Volvole</t>
  </si>
  <si>
    <t>Manniva vesi</t>
  </si>
  <si>
    <t>2.2.18.1</t>
  </si>
  <si>
    <t>2.2.18.2</t>
  </si>
  <si>
    <t>2.2.18.3</t>
  </si>
  <si>
    <t>2.2.18.4</t>
  </si>
  <si>
    <t>2.2.18.5</t>
  </si>
  <si>
    <t>2.2.18.6</t>
  </si>
  <si>
    <t>2.2.18.7</t>
  </si>
  <si>
    <t>2.2.18.8</t>
  </si>
  <si>
    <t>...</t>
  </si>
  <si>
    <t>Konsultatsioonikulud</t>
  </si>
  <si>
    <t>2.2.10.1</t>
  </si>
  <si>
    <t>2.2.10.2</t>
  </si>
  <si>
    <t>2.2.10.3</t>
  </si>
  <si>
    <t>2.2.10.4</t>
  </si>
  <si>
    <t>2.2.10.5</t>
  </si>
  <si>
    <t>2.2.10.6</t>
  </si>
  <si>
    <t>Vee erikasutus 2021</t>
  </si>
  <si>
    <t>Vee erikasutus 2021 kokku</t>
  </si>
  <si>
    <t>Vee erikasutus 2022</t>
  </si>
  <si>
    <t>Vee erikasutus 2022 kokku</t>
  </si>
  <si>
    <t>Vee erikasutus 2023</t>
  </si>
  <si>
    <t>Vee erikasutus 2023 kokku</t>
  </si>
  <si>
    <t>veesaaste 2021</t>
  </si>
  <si>
    <t>vee erikasutus 2021</t>
  </si>
  <si>
    <t>veesaaste 2022</t>
  </si>
  <si>
    <t>vee erikasutus 2022</t>
  </si>
  <si>
    <t>veesaaste 2023</t>
  </si>
  <si>
    <t>vee erikasutus 2023</t>
  </si>
  <si>
    <t>2.2.10.7</t>
  </si>
  <si>
    <t>Käibemaks sõiduauto kuludelt</t>
  </si>
  <si>
    <t>Raskeveokimaks,teekasutusmaks</t>
  </si>
  <si>
    <t>38ZEE-00766131-Z</t>
  </si>
  <si>
    <t>Helme tee 15, Pumpla 2</t>
  </si>
  <si>
    <t>38ZEE-00375755-G</t>
  </si>
  <si>
    <t>38ZEE-00766132-W</t>
  </si>
  <si>
    <t>Hiie tee 2-lõik, reoveepumpla</t>
  </si>
  <si>
    <t>Jägala-Jõesuu, kanalisatsiooni-puhasti</t>
  </si>
  <si>
    <t>38ZEE-00375749-8</t>
  </si>
  <si>
    <t>38ZEE-00766133-T</t>
  </si>
  <si>
    <t>Paala tee reoveepumpla</t>
  </si>
  <si>
    <t>38ZEE-00765694-K</t>
  </si>
  <si>
    <t>Saare tee 28 ees reoveepumpla KP-105</t>
  </si>
  <si>
    <t>Söödi reoveepumpla</t>
  </si>
  <si>
    <t>38ZEE-00772712-R</t>
  </si>
  <si>
    <t>Söödi tee reoveepumpla</t>
  </si>
  <si>
    <t>38ZEE-00766135-N</t>
  </si>
  <si>
    <t>38ZEE-00755473-B</t>
  </si>
  <si>
    <t>Tule tee reoveepumpla</t>
  </si>
  <si>
    <t>Tungla tee reoveepumpla</t>
  </si>
  <si>
    <t>38ZEE-00754129-Y</t>
  </si>
  <si>
    <t>Uusküla tee 5 reoveepumpla</t>
  </si>
  <si>
    <t>38ZEE-00754130-K</t>
  </si>
  <si>
    <t>Jõesuu puhkeala üleveepumpla</t>
  </si>
  <si>
    <t>Mõisa tee 4 pumbamaja</t>
  </si>
  <si>
    <t>Hindreku tee 1 puurkaev</t>
  </si>
  <si>
    <t>Jõeääre tee xx pumpla nr 2</t>
  </si>
  <si>
    <t>Vanapere tee pumpla</t>
  </si>
  <si>
    <t>Rahvamaja tee 1a Kaberneeme veetöötlusjaam</t>
  </si>
  <si>
    <t>Kruusimäe põik 1 reoveepumpla</t>
  </si>
  <si>
    <t>Erma tee lõik 3 reoveepumpla</t>
  </si>
  <si>
    <t>Iru põik 6 reoveekanalisatsiooni pumpla RVP-1</t>
  </si>
  <si>
    <t>Kivineeme 16a ülepumpla</t>
  </si>
  <si>
    <t>Metsamarja 23a ülepumpla</t>
  </si>
  <si>
    <t>Neeme küla pumbamaja</t>
  </si>
  <si>
    <t>Neeme pumpla ülepumpla</t>
  </si>
  <si>
    <t>Männisalu pumbamaja</t>
  </si>
  <si>
    <t>Sadama tee kanalisatsioonipumpla KPJ-2</t>
  </si>
  <si>
    <t>Äia tee 10a läheduses reoveekanalisatsiooni pumpla RV-2</t>
  </si>
  <si>
    <t>Ämma tee 76c survekanalisatsiooni pumpla</t>
  </si>
  <si>
    <t>AÜ Lepalind pumpla</t>
  </si>
  <si>
    <t>Metsahundi tee 9 RVP Metsahundi 1</t>
  </si>
  <si>
    <t>Aruaru pumbamaja</t>
  </si>
  <si>
    <t>Rebala pumpla</t>
  </si>
  <si>
    <t>Loovälja tee 7 reoveepumpla</t>
  </si>
  <si>
    <t>Pirita jõgi</t>
  </si>
  <si>
    <t>BHT7</t>
  </si>
  <si>
    <t>Loo sadevesi 3</t>
  </si>
  <si>
    <t>Aasa kraav</t>
  </si>
  <si>
    <t>ph 6-9</t>
  </si>
  <si>
    <t>Jõeääre tee pumpla</t>
  </si>
  <si>
    <t>Kruusimäe põik 1 pumpla</t>
  </si>
  <si>
    <t>Anija metskond 2 purgimissõlm</t>
  </si>
  <si>
    <t>38ZEE-00776138-7</t>
  </si>
  <si>
    <t>38ZEE-00745806-H</t>
  </si>
  <si>
    <t>Nehatu tee lõik 4</t>
  </si>
  <si>
    <t>38ZEE-06001244-H</t>
  </si>
  <si>
    <t>38ZEE-00607152-V</t>
  </si>
  <si>
    <t>Piiri tee 3</t>
  </si>
  <si>
    <t>38ZEE-0900008C-3</t>
  </si>
  <si>
    <t>Tallinna Sadam</t>
  </si>
  <si>
    <t>Uuesauna tee 13a</t>
  </si>
  <si>
    <t>38ZEE-06001178-Z</t>
  </si>
  <si>
    <t>0,4 kV ajatariif</t>
  </si>
  <si>
    <t xml:space="preserve">RMP aruanne </t>
  </si>
  <si>
    <t>Muu tegevus</t>
  </si>
  <si>
    <t>2.2.18.9</t>
  </si>
  <si>
    <t>Raamatupidamisteenused</t>
  </si>
  <si>
    <t>E-arveldusteenused</t>
  </si>
  <si>
    <t>Pangateenused</t>
  </si>
  <si>
    <t>Muud kulud (ebatavalised kulud)</t>
  </si>
  <si>
    <t>Abonenttasu (OmaKoduMaja)</t>
  </si>
  <si>
    <t>Müük kokku</t>
  </si>
  <si>
    <t>2023 vr 2024</t>
  </si>
  <si>
    <t>koguse muutus</t>
  </si>
  <si>
    <t>Purgimine</t>
  </si>
  <si>
    <t>RMP aruanne</t>
  </si>
  <si>
    <t>esitada AINULT veesektori investeeringud</t>
  </si>
  <si>
    <t>aastas</t>
  </si>
  <si>
    <t>Veeteenuse hinda lülitatavad investeeringud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</si>
  <si>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</si>
  <si>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</si>
  <si>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</si>
  <si>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</si>
  <si>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</si>
  <si>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</si>
  <si>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</si>
  <si>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</si>
  <si>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</si>
  <si>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</si>
  <si>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</si>
  <si>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</si>
  <si>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</si>
  <si>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</si>
  <si>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</si>
  <si>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</si>
  <si>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</si>
  <si>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</si>
  <si>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2.11</t>
  </si>
  <si>
    <t>2.12</t>
  </si>
  <si>
    <t>2.13</t>
  </si>
  <si>
    <t>2.14</t>
  </si>
  <si>
    <t>2.15</t>
  </si>
  <si>
    <t>2.16</t>
  </si>
  <si>
    <t>2.17</t>
  </si>
  <si>
    <t>põhivara nimetus</t>
  </si>
  <si>
    <t>Veevarustuse teenusega seotud maa</t>
  </si>
  <si>
    <t>Reovee ärajuhtimise ja puhastamise teenusega seotud maa</t>
  </si>
  <si>
    <t>Sademe- ja drenaaživee ning muu pinnase- ja pinnavee ärajuhtimise ning puhastamise maa</t>
  </si>
  <si>
    <t>Veeteenuse hinda lülitatavad investeeringud kokku</t>
  </si>
  <si>
    <t>Tarbijate poolt tasutud liitumistasudest teostatud investeeringud veesektoris</t>
  </si>
  <si>
    <t>Liitumistasudega finantseeritud maa</t>
  </si>
  <si>
    <t>Veesektori investeeringutest muu tegevusega seotud osa</t>
  </si>
  <si>
    <t>Muu tegevusega seotud maa</t>
  </si>
  <si>
    <t>Tagastamatu abi (sihtfinantseerimine) arvel teostatud investeeringud veesektoris</t>
  </si>
  <si>
    <t>Tagastamatust abist finantseeritud maa</t>
  </si>
  <si>
    <t>Kõik investeeringud kokku ilma lõpetamata ehitiseta</t>
  </si>
  <si>
    <t>sh veesektoriga seotud maa</t>
  </si>
  <si>
    <t>sh veesektoriga seotud materiaalne põhivara (va maa)</t>
  </si>
  <si>
    <t>Veevarustuse teenuse lõpetamata ehitise saldo aasta lõpus</t>
  </si>
  <si>
    <t>Liitumistasude arvelt</t>
  </si>
  <si>
    <t>9.1.4</t>
  </si>
  <si>
    <t>Tagastamatust abist (sihtfinantseerimistest)</t>
  </si>
  <si>
    <t>9.2.4</t>
  </si>
  <si>
    <t>Ettevõtte vahenditest</t>
  </si>
  <si>
    <t>Kõik investeeringud, kontroll (vahe):</t>
  </si>
  <si>
    <t>sh veesektoriga seotud maa, kontroll (vahe):</t>
  </si>
  <si>
    <t>sh veesektoriga seotud materiaalne põhivara (va maa), kontroll (vahe):</t>
  </si>
  <si>
    <t>13.</t>
  </si>
  <si>
    <t>Lõpetamata ehitiste saldo, kontroll (vahe):</t>
  </si>
  <si>
    <t>aastates</t>
  </si>
  <si>
    <t>kulum</t>
  </si>
  <si>
    <t>8.6</t>
  </si>
  <si>
    <t>Nehatu veetorustik</t>
  </si>
  <si>
    <t>Kaubik Ford Transit</t>
  </si>
  <si>
    <t>1.21</t>
  </si>
  <si>
    <t>1.22</t>
  </si>
  <si>
    <t>1.23</t>
  </si>
  <si>
    <t>Loo alevik Hundimäe tee kanalisatsioonitorustik</t>
  </si>
  <si>
    <t>Nehatu kanalisatsioonitorustik</t>
  </si>
  <si>
    <t>Reoveepumpla tehnopargi Loo alevik</t>
  </si>
  <si>
    <t>2.18</t>
  </si>
  <si>
    <t>2.19</t>
  </si>
  <si>
    <t>2.20</t>
  </si>
  <si>
    <t>Nehatu sademeveekanalisatsiooni torustik</t>
  </si>
  <si>
    <t>Andmed töölehel "Põhivara".</t>
  </si>
  <si>
    <t>Vee erikasutus 2024</t>
  </si>
  <si>
    <t>Vee erikasutus 2024 kokku</t>
  </si>
  <si>
    <t>Desinfitseerimisained</t>
  </si>
  <si>
    <r>
      <t>F-25</t>
    </r>
    <r>
      <rPr>
        <sz val="11"/>
        <color theme="1"/>
        <rFont val="Calibri"/>
        <family val="2"/>
        <charset val="186"/>
        <scheme val="minor"/>
      </rPr>
      <t xml:space="preserve">, pöördosmoosi kemikaal </t>
    </r>
  </si>
  <si>
    <t>Mäeotsa tee veevarustus, Loo</t>
  </si>
  <si>
    <t>Ilumäe piirkond, Loo</t>
  </si>
  <si>
    <t>Kõrre piirkond, Jägala-Joa</t>
  </si>
  <si>
    <t>Veevärgi torustikke lisandub:</t>
  </si>
  <si>
    <t>sh arendajad rajavad uusi:</t>
  </si>
  <si>
    <t>sh Loo Vesi rajab uusi:</t>
  </si>
  <si>
    <t>Rekonstrueeritakse:</t>
  </si>
  <si>
    <t>4.5</t>
  </si>
  <si>
    <t>4.6</t>
  </si>
  <si>
    <t>Kanalisatsioonitorustikke lisandub:</t>
  </si>
  <si>
    <t>Reoveepumplate arv</t>
  </si>
  <si>
    <t>sh Neeme</t>
  </si>
  <si>
    <t>sh Jägala Golf</t>
  </si>
  <si>
    <t>sh Haljava</t>
  </si>
  <si>
    <t>sh Jägala Joa</t>
  </si>
  <si>
    <t>erinevus</t>
  </si>
  <si>
    <r>
      <t xml:space="preserve">Reoveepuhastisse </t>
    </r>
    <r>
      <rPr>
        <b/>
        <u/>
        <sz val="10"/>
        <rFont val="Arial"/>
        <family val="2"/>
        <charset val="186"/>
      </rPr>
      <t>sisenev</t>
    </r>
    <r>
      <rPr>
        <b/>
        <sz val="10"/>
        <rFont val="Arial"/>
        <family val="2"/>
      </rPr>
      <t xml:space="preserve"> mõõdetud reovee maht reoveepuhastite lõikes</t>
    </r>
  </si>
  <si>
    <r>
      <t xml:space="preserve">Reovee ärajuhtimise ja puhastamise </t>
    </r>
    <r>
      <rPr>
        <b/>
        <u/>
        <sz val="10"/>
        <rFont val="Arial"/>
        <family val="2"/>
        <charset val="186"/>
      </rPr>
      <t>müügimah</t>
    </r>
    <r>
      <rPr>
        <b/>
        <sz val="10"/>
        <rFont val="Arial"/>
        <family val="2"/>
      </rPr>
      <t>t reoveepuhastite lõikes</t>
    </r>
  </si>
  <si>
    <t>Võlakohustused (jääk aasta lõpus)</t>
  </si>
  <si>
    <t>Laenukohustuste keskmine intress</t>
  </si>
  <si>
    <t>KASUMIARUANNE</t>
  </si>
  <si>
    <t>ÜLDISELOOMUSTUS</t>
  </si>
  <si>
    <t>INVESTEERINGUD</t>
  </si>
  <si>
    <t>PÕHIVARADE ARVESTUS</t>
  </si>
  <si>
    <t>KESKKONNATASUD</t>
  </si>
  <si>
    <t>KEMIKAALID</t>
  </si>
  <si>
    <t>PALGAKULUD</t>
  </si>
  <si>
    <t>summa</t>
  </si>
  <si>
    <t>Hinnaarvutus 12 kuu andmete alusel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</si>
  <si>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</si>
  <si>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</si>
  <si>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</si>
  <si>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</si>
  <si>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</si>
  <si>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</si>
  <si>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</si>
  <si>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</si>
  <si>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</si>
  <si>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</si>
  <si>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</si>
  <si>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Jägala veetorustik</t>
  </si>
  <si>
    <t>Jägala-Joa VK torustikud</t>
  </si>
  <si>
    <t>Jägala-Joa puurkaev</t>
  </si>
  <si>
    <t>Loo aleviku Ilumäe piirkonna VK torustik</t>
  </si>
  <si>
    <t>Neeme alevik Tanuma VK torustikud</t>
  </si>
  <si>
    <t>Neeme Metsamarja piirkonna VK torustikud</t>
  </si>
  <si>
    <t>Uusküla Nuudi tee piirkonna VK torustik</t>
  </si>
  <si>
    <t>Loo aleviku Mäotsa tee piirkonna VK torustik</t>
  </si>
  <si>
    <t>Neeme puurkaevule SCADA lahendus</t>
  </si>
  <si>
    <t>Kaberneeme puurkaevule SCADA lahendus</t>
  </si>
  <si>
    <t>Iru veetöötlusjaama laiendamine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</si>
  <si>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</si>
  <si>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</si>
  <si>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</si>
  <si>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</si>
  <si>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</si>
  <si>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</si>
  <si>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</si>
  <si>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</si>
  <si>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</si>
  <si>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</si>
  <si>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Jägala-Joa reoveepuhasti</t>
  </si>
  <si>
    <t>Loo aleviku reovee membraanpuhasti</t>
  </si>
  <si>
    <t>Liivamäe kanalisatsiooni laiendamine</t>
  </si>
  <si>
    <t>Nehatu kanalisatsioonitoru läbipesusõlm</t>
  </si>
  <si>
    <t>3.4</t>
  </si>
  <si>
    <t>veesaaste 2024, tegelik</t>
  </si>
  <si>
    <t>vee erikasutus 2024, tegelik</t>
  </si>
  <si>
    <t>Vee- ja reoveeteenuse ost</t>
  </si>
  <si>
    <t>tavahind</t>
  </si>
  <si>
    <t>tipuhind</t>
  </si>
  <si>
    <t>päev %</t>
  </si>
  <si>
    <t xml:space="preserve">öö ja puhkepäev % </t>
  </si>
  <si>
    <t>sh VESI</t>
  </si>
  <si>
    <t>sh REOVESI</t>
  </si>
  <si>
    <t>öö ja puhkep.</t>
  </si>
  <si>
    <t>tava</t>
  </si>
  <si>
    <t>tipuaeg</t>
  </si>
  <si>
    <r>
      <rPr>
        <b/>
        <sz val="9"/>
        <rFont val="Calibri"/>
        <family val="2"/>
        <charset val="186"/>
        <scheme val="minor"/>
      </rPr>
      <t xml:space="preserve">Võimsus </t>
    </r>
    <r>
      <rPr>
        <b/>
        <sz val="11"/>
        <rFont val="Calibri"/>
        <family val="2"/>
        <charset val="186"/>
        <scheme val="minor"/>
      </rPr>
      <t>VMA2</t>
    </r>
  </si>
  <si>
    <t>38ZEE-00786242-9</t>
  </si>
  <si>
    <t>Hundimäe tee reoveepumpla</t>
  </si>
  <si>
    <t>38ZEE-00777962-4</t>
  </si>
  <si>
    <t>Jägala-Joa</t>
  </si>
  <si>
    <t>Joa puhkeala veetöötlusjaam</t>
  </si>
  <si>
    <t>38ZEE-00786336-X</t>
  </si>
  <si>
    <t>Metsahundi tee 16 RVP Metsahundi 2</t>
  </si>
  <si>
    <t>Metsa tee 34 reoveekanalisatsiooni pumpla RVP-3</t>
  </si>
  <si>
    <t>Toominga tee 11 pumpla</t>
  </si>
  <si>
    <t>Toomla-pump pumpla</t>
  </si>
  <si>
    <t>Vahevälja reoveepumpla</t>
  </si>
  <si>
    <t>38ZEE-00786332-8</t>
  </si>
  <si>
    <t>Erma tee 34a tööstushoone, Hindreku VTJ</t>
  </si>
  <si>
    <r>
      <t xml:space="preserve">Keskmine elektrienergia börsihind. </t>
    </r>
    <r>
      <rPr>
        <sz val="11"/>
        <rFont val="Calibri"/>
        <family val="2"/>
        <charset val="186"/>
        <scheme val="minor"/>
      </rPr>
      <t>Andmete allikas:</t>
    </r>
  </si>
  <si>
    <t>Kuu</t>
  </si>
  <si>
    <t>€/MWh</t>
  </si>
  <si>
    <t>24 - Veb</t>
  </si>
  <si>
    <t>24 - Mar</t>
  </si>
  <si>
    <t>24 - Apr</t>
  </si>
  <si>
    <t>24 - May</t>
  </si>
  <si>
    <t>Keskm.</t>
  </si>
  <si>
    <t>Lumeõie</t>
  </si>
  <si>
    <r>
      <t>kWh/m</t>
    </r>
    <r>
      <rPr>
        <b/>
        <vertAlign val="superscript"/>
        <sz val="10"/>
        <rFont val="Arial"/>
        <family val="2"/>
        <charset val="186"/>
      </rPr>
      <t>3</t>
    </r>
  </si>
  <si>
    <t>Elektritarbimise erikulu vesi+reovesi mahu kohta</t>
  </si>
  <si>
    <t>Vibeliku 19a, veetorn</t>
  </si>
  <si>
    <t>Saha tee 9F (töökoda)</t>
  </si>
  <si>
    <t>Kuusiku tee 26</t>
  </si>
  <si>
    <t>Oja tee pumpla</t>
  </si>
  <si>
    <t>38ZEE-06001366-Z</t>
  </si>
  <si>
    <t>Saha tee 17C</t>
  </si>
  <si>
    <t>Nehatu tee pumpla</t>
  </si>
  <si>
    <t>Saha tee III pumbamaja</t>
  </si>
  <si>
    <t>Saha tee I pumbamaja</t>
  </si>
  <si>
    <t>Vahe tee 3</t>
  </si>
  <si>
    <t>Tellivere I pumbamaja</t>
  </si>
  <si>
    <t>Lõuna põik pumpla</t>
  </si>
  <si>
    <t>38ZEE-06001373-3</t>
  </si>
  <si>
    <t>Lagedi solgipump</t>
  </si>
  <si>
    <t>Aasa tee pumpla</t>
  </si>
  <si>
    <t>Lagedi Ilumäe pumpla</t>
  </si>
  <si>
    <t>Saha tee 18K</t>
  </si>
  <si>
    <t>Spordi tee 4</t>
  </si>
  <si>
    <t>M</t>
  </si>
  <si>
    <t>Mitte-kontrollitavad kulud</t>
  </si>
  <si>
    <t>Põhjendatud tulukus</t>
  </si>
  <si>
    <t>Maha- arvamised</t>
  </si>
  <si>
    <t>Lubatud müügitulu</t>
  </si>
  <si>
    <t>KA järelvalve- tasu 0,2%</t>
  </si>
  <si>
    <t>Lubatud müügitulu järelevalve- tasuga</t>
  </si>
  <si>
    <t>Müügitulu Kasumi- aruandes</t>
  </si>
  <si>
    <t>kontrl.</t>
  </si>
  <si>
    <t>Vesi</t>
  </si>
  <si>
    <t>Reovesi</t>
  </si>
  <si>
    <t>kontroll</t>
  </si>
  <si>
    <t>Kooskõlastatavate kulude jagamise teenuste vahel.</t>
  </si>
  <si>
    <t>Kulu nimetus</t>
  </si>
  <si>
    <t>Kulu kokku</t>
  </si>
  <si>
    <t>Jaotuse kontroll</t>
  </si>
  <si>
    <r>
      <t>Teenuse osakaal müügimahus m</t>
    </r>
    <r>
      <rPr>
        <b/>
        <vertAlign val="superscript"/>
        <sz val="10"/>
        <rFont val="Arial"/>
        <family val="2"/>
        <charset val="186"/>
      </rPr>
      <t>3</t>
    </r>
  </si>
  <si>
    <t>Mittekontrollitavad tegevuskulud</t>
  </si>
  <si>
    <t>Keskmine veeteenuste müügitulu</t>
  </si>
  <si>
    <t>Periood</t>
  </si>
  <si>
    <t>Teekasutustasu, muud maksud</t>
  </si>
  <si>
    <t>aritm. keskmine:</t>
  </si>
  <si>
    <t>Muud kontrollitavad tegevuskulud (va elektrienergia, kemikaalid, muda töötlemine, tööjõukulud, tagastamatu abi (sihtfinantseerimise) kulud, ebatõen. laek. arved ja lootusetud võlad):</t>
  </si>
  <si>
    <t>Kapitalikulu (kulum)</t>
  </si>
  <si>
    <t>Põhivara jääkmaksm.(ettev. vahenditest soet. vara)</t>
  </si>
  <si>
    <t>2.1.7</t>
  </si>
  <si>
    <t>2.1.8</t>
  </si>
  <si>
    <t>sh vesi</t>
  </si>
  <si>
    <t>2.1.9</t>
  </si>
  <si>
    <t>Teiselt vee-ettevõtjalt ostetud teenus VESI</t>
  </si>
  <si>
    <t>Teiselt vee-ettevõtjalt ostetud teenus REOVESI</t>
  </si>
  <si>
    <t>sh reovesi</t>
  </si>
  <si>
    <t>REOVESI</t>
  </si>
  <si>
    <t>Hinnavahe tasandamine.</t>
  </si>
  <si>
    <t>Aasta</t>
  </si>
  <si>
    <t>Müügimaht füüsilistele isikutele (m³)</t>
  </si>
  <si>
    <t>Müügimaht juriidilistele isikutele (m³)</t>
  </si>
  <si>
    <t>Kaalutud keskmine hind (€/m³)</t>
  </si>
  <si>
    <t>Hind füüsilistele isikutele (€/m³)</t>
  </si>
  <si>
    <t>Hind juriidilistele isikutele (€/m³)</t>
  </si>
  <si>
    <t>Hinnavahe kontroll</t>
  </si>
  <si>
    <t>Hinnavahe kahandamine</t>
  </si>
  <si>
    <t>Hinnavahe</t>
  </si>
  <si>
    <t>TASU VÕETUD VEE EEST</t>
  </si>
  <si>
    <t>Konkurentsiameti 24.07.2012 otsus 9.1-3/12-015</t>
  </si>
  <si>
    <t>Konkurentsiameti 24.11.2020 otsus 9-3/2020-013</t>
  </si>
  <si>
    <t>Konkurentsiameti 05.01.2022 otsus 9-3/2022-001</t>
  </si>
  <si>
    <t>V hinna kooskõlastamine</t>
  </si>
  <si>
    <t>VI hinna kooskõlastamine</t>
  </si>
  <si>
    <t>VII hinna kooskõlastamine</t>
  </si>
  <si>
    <t>VIII hinna kooskõlastamine</t>
  </si>
  <si>
    <t>IX hinna kooskõlastamine</t>
  </si>
  <si>
    <t>X hinna kooskõlastamine</t>
  </si>
  <si>
    <t>XI hinna kooskõlastamine</t>
  </si>
  <si>
    <t>XII hinna kooskõlastamine</t>
  </si>
  <si>
    <t>XIII hinna kooskõlastamine</t>
  </si>
  <si>
    <t>XIV hinna kooskõlastamine</t>
  </si>
  <si>
    <t>XV hinna kooskõlastamine</t>
  </si>
  <si>
    <t>TASU REOVEE ÄRAJUHTIMISE JA PUHASTAMISE EEST</t>
  </si>
  <si>
    <t>Tatari 39</t>
  </si>
  <si>
    <t>2400 Tallinn</t>
  </si>
  <si>
    <t>E-post:</t>
  </si>
  <si>
    <t>Taotlen alljärgnevate veeteenuse hindade kooskõlastamist:</t>
  </si>
  <si>
    <t>Taotleme veeteenuste hinnatõusu, sest teenuse osutamise kulud on tõusnud. Seniste hindadega jätkates ei oleks ettevõte tegevus jätkusuutlik. Ohtu saaks seatud keskkonna-, kvaliteedi- ja ohutusnõuete täitmine.</t>
  </si>
  <si>
    <t>REOVEE ÄRAJUHTIMINE JA PUHASTAMINE</t>
  </si>
  <si>
    <t>ELEKTER</t>
  </si>
  <si>
    <t>TÖÖJÕUD</t>
  </si>
  <si>
    <t>VÕLAKOHUSTUSED</t>
  </si>
  <si>
    <t>TEHNILISED RAJATISED, KLIENDID</t>
  </si>
  <si>
    <t>4</t>
  </si>
  <si>
    <t>5</t>
  </si>
  <si>
    <t>5.6</t>
  </si>
  <si>
    <t>5.7</t>
  </si>
  <si>
    <t>5.8</t>
  </si>
  <si>
    <t>5.9</t>
  </si>
  <si>
    <t>5.10</t>
  </si>
  <si>
    <t>7.5</t>
  </si>
  <si>
    <t>11.4</t>
  </si>
  <si>
    <t>korda</t>
  </si>
  <si>
    <t>4.7</t>
  </si>
  <si>
    <t>4.8</t>
  </si>
  <si>
    <t>4.9</t>
  </si>
  <si>
    <t>4.10</t>
  </si>
  <si>
    <t>PURGIMINE</t>
  </si>
  <si>
    <t>Tuletõrjevesi</t>
  </si>
  <si>
    <t>Veetarbimine muud (loetle)</t>
  </si>
  <si>
    <t>3.3.1</t>
  </si>
  <si>
    <t>3.3.2</t>
  </si>
  <si>
    <t>3</t>
  </si>
  <si>
    <t>7</t>
  </si>
  <si>
    <t>sh reguleeritud veeteenused</t>
  </si>
  <si>
    <t>sh muud (purgimine)</t>
  </si>
  <si>
    <t>kontroll (Kasumiaruanne, rida 2.1.1):</t>
  </si>
  <si>
    <t>kontroll (Kasumiaruanne, rida 2.1.2):</t>
  </si>
  <si>
    <t>Kasumiaruanne, rida 2.2.24.1:</t>
  </si>
  <si>
    <t>Kasumiaruanne, rida 2.2.2:</t>
  </si>
  <si>
    <t>Loo alevik; Kostivere alevik; Uusküla küla; Iru küla; Liivamäe küla; Neeme küla; Rebala küla; Maardu küla; Haljava küla; Saha küla; Kaberneeme küla; Jägala küla; Jõelähtme küla; Kallavere küla; Manniva küla; Ülgase küla; Aruaru küla; Võerdla küla, Nehatu küla, Ihasalu küla, Männisalu küla ja Tellivere küla.</t>
  </si>
  <si>
    <t>Konkurentsiameti 23.09.2022 otsus nr 9-3/2022-031</t>
  </si>
  <si>
    <t>2024 vr 2025</t>
  </si>
  <si>
    <t>Hinna rakendamise järgselt reguleeritava põhitegevusega seotud (ex-post) teenuste müük (v.a. liitumistasud)</t>
  </si>
  <si>
    <t>Tulumaks (dividendide tulumaksukulu)</t>
  </si>
  <si>
    <t>Hinnaarvutus 12 kuu andmete alusel (2025)</t>
  </si>
  <si>
    <t>Prognoos 2024</t>
  </si>
  <si>
    <t>Tegevus- ala</t>
  </si>
  <si>
    <t>Teenuse osakaal kemikaalikuludes 2025</t>
  </si>
  <si>
    <t>Vee erikasutus 2025</t>
  </si>
  <si>
    <t>Vee erikasutus 2025 kokku</t>
  </si>
  <si>
    <t>veesaaste 2025, prognoos</t>
  </si>
  <si>
    <t>vee erikasutus 2025, prognoos</t>
  </si>
  <si>
    <t>kulumiarvestus 2024</t>
  </si>
  <si>
    <t>kulumiarvestus 2025</t>
  </si>
  <si>
    <t>1.35</t>
  </si>
  <si>
    <t>1.36</t>
  </si>
  <si>
    <t>1.37</t>
  </si>
  <si>
    <t>1.38</t>
  </si>
  <si>
    <t>1.39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</si>
  <si>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</si>
  <si>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</si>
  <si>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</si>
  <si>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</si>
  <si>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</si>
  <si>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</si>
  <si>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</si>
  <si>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</si>
  <si>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</si>
  <si>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Palgakulud veeteenuse osutamisel</t>
  </si>
  <si>
    <t>24 - Jun</t>
  </si>
  <si>
    <t>müügimaht</t>
  </si>
  <si>
    <t>Männisalu veetorustik</t>
  </si>
  <si>
    <t>reovee müügimahud tabelis A</t>
  </si>
  <si>
    <t>Uuskülas veemahuti suurendamine</t>
  </si>
  <si>
    <t>Veetöötluse laiendamine (Tiiva tee 1b Loo)</t>
  </si>
  <si>
    <t>Neeme joogiveemahuti</t>
  </si>
  <si>
    <t>Veetöötluse paigaldamine farmi puurkaevule</t>
  </si>
  <si>
    <t>Veevõrgu ühendustorustik Uus-Rebala küla ning Männisalu PK ühendamiseks</t>
  </si>
  <si>
    <t>Liitumistasu kulu: Tallinna Vesi VK veemõõdusõlmed 2 tk Kallavere</t>
  </si>
  <si>
    <t>Liitumistasu kulu: Tallinna Vesi reovee mõõdusõlm 1 tk Kallavere</t>
  </si>
  <si>
    <t>Uusküla membraanpuhasti 400 ie</t>
  </si>
  <si>
    <t>Manniva reoveepuhasti</t>
  </si>
  <si>
    <t>Kostivere reoveepuhasti laiendamine</t>
  </si>
  <si>
    <t>Neeme uus 50 ie membraanpuhasti</t>
  </si>
  <si>
    <t>Reovee läbipesukaevud 20 tk</t>
  </si>
  <si>
    <t>Järelevalvetasu</t>
  </si>
  <si>
    <t>muutus vesi+reov.</t>
  </si>
  <si>
    <t>füüs. iskud</t>
  </si>
  <si>
    <t>jur. isikud</t>
  </si>
  <si>
    <t>sh reovee ärajuht. ja puhast.</t>
  </si>
  <si>
    <t>Haljava reoveepuhasti 74 ie</t>
  </si>
  <si>
    <t>Reoveepumplate rekonstrueerimine Neeme, Loo 6 tk</t>
  </si>
  <si>
    <t>Sademe- ja drenaaživee ning muu pinnase- ja pinnavee ärajuhtimine ning puhastamine</t>
  </si>
  <si>
    <t>Tasu summa (€)</t>
  </si>
  <si>
    <t>Ajataguse tee, KPJ-1</t>
  </si>
  <si>
    <t>tel 501 4340</t>
  </si>
  <si>
    <t>Veepumplate arv</t>
  </si>
  <si>
    <t>Aasta keskmine töötajate arv veeteenuse osutamisel taandatuna täistööajale</t>
  </si>
  <si>
    <t>Miniekskavaator koos lisatarvikutega</t>
  </si>
  <si>
    <t>24 - Jul</t>
  </si>
  <si>
    <t>24 - Aug</t>
  </si>
  <si>
    <t xml:space="preserve">Mäeotsa tee 1a, Loo uus 150 ie membraanpuhasti </t>
  </si>
  <si>
    <t>Uusküla,Nuudi tee kanal. torustik</t>
  </si>
  <si>
    <t>Astoni tee lõik 1 AJ-29 1F2, reoveemõõdukaev</t>
  </si>
  <si>
    <t>24 - Sept</t>
  </si>
  <si>
    <t>24 - Oct</t>
  </si>
  <si>
    <t>https://data.nordpoolgroup.com/auction/day-ahead/prices?deliveryDate=latest&amp;currency=EUR&amp;aggregation=MonthlyAggregate&amp;deliveryAreas=EE</t>
  </si>
  <si>
    <t>mahumuutus</t>
  </si>
  <si>
    <t>2025. aasta prognoosi alus:</t>
  </si>
  <si>
    <t>Loo Proteiini</t>
  </si>
  <si>
    <t>IV'</t>
  </si>
  <si>
    <t>24 - Nov</t>
  </si>
  <si>
    <t>24 - Dec</t>
  </si>
  <si>
    <t>38ZEE-060001DR-Y</t>
  </si>
  <si>
    <t>Proteiin</t>
  </si>
  <si>
    <t>38ZEE-06001364-4</t>
  </si>
  <si>
    <t>38ZEE-06001365-1</t>
  </si>
  <si>
    <t>Nurmiku pumpla</t>
  </si>
  <si>
    <t>Nahkrupõllu pumpla</t>
  </si>
  <si>
    <t>V/R/M</t>
  </si>
  <si>
    <t>Reov. puhast. müügimaht</t>
  </si>
  <si>
    <r>
      <t>m</t>
    </r>
    <r>
      <rPr>
        <b/>
        <vertAlign val="superscript"/>
        <sz val="8"/>
        <rFont val="Arial"/>
        <family val="2"/>
        <charset val="186"/>
      </rPr>
      <t>3</t>
    </r>
  </si>
  <si>
    <t>BHT7 kokku</t>
  </si>
  <si>
    <t>tonn</t>
  </si>
  <si>
    <t>erikulu</t>
  </si>
  <si>
    <r>
      <t>g/m</t>
    </r>
    <r>
      <rPr>
        <vertAlign val="superscript"/>
        <sz val="8"/>
        <rFont val="Arial"/>
        <family val="2"/>
        <charset val="186"/>
      </rPr>
      <t>3</t>
    </r>
  </si>
  <si>
    <t>Heljum kokku</t>
  </si>
  <si>
    <t>Püld kokku</t>
  </si>
  <si>
    <t>Nüld kokku</t>
  </si>
  <si>
    <t>Nafta kokku</t>
  </si>
  <si>
    <t>Fenoolid kokku</t>
  </si>
  <si>
    <t>2022-2024 kokku</t>
  </si>
  <si>
    <t>2022-2024 keskmine</t>
  </si>
  <si>
    <t>reoveepumpla 1</t>
  </si>
  <si>
    <t>reoveepumpla 2</t>
  </si>
  <si>
    <t>Koogi</t>
  </si>
  <si>
    <t>reoveepuhasti</t>
  </si>
  <si>
    <t>puurkaev-pumpla</t>
  </si>
  <si>
    <r>
      <t>m</t>
    </r>
    <r>
      <rPr>
        <b/>
        <i/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  <charset val="186"/>
      </rPr>
      <t/>
    </r>
  </si>
  <si>
    <t>kontsentr. erinevus võrreldes keskm. kanalisatsiooni juhitavast reoveest</t>
  </si>
  <si>
    <t>suhteline maht arvestades kontsentratsiooni</t>
  </si>
  <si>
    <r>
      <t>m</t>
    </r>
    <r>
      <rPr>
        <i/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  <charset val="186"/>
      </rPr>
      <t/>
    </r>
  </si>
  <si>
    <t>sh Neeme purgla purgimise müügimaht</t>
  </si>
  <si>
    <t>sh Loo aleviku purgla purgimise müügimaht</t>
  </si>
  <si>
    <r>
      <t xml:space="preserve">Purgimise </t>
    </r>
    <r>
      <rPr>
        <b/>
        <u/>
        <sz val="10"/>
        <rFont val="Arial"/>
        <family val="2"/>
        <charset val="186"/>
      </rPr>
      <t>müügmaht</t>
    </r>
    <r>
      <rPr>
        <b/>
        <sz val="10"/>
        <rFont val="Arial"/>
        <family val="2"/>
        <charset val="186"/>
      </rPr>
      <t xml:space="preserve"> kokku</t>
    </r>
  </si>
  <si>
    <t>sh Neeme purgimise kemikaalid</t>
  </si>
  <si>
    <t>sh Neeme RVP</t>
  </si>
  <si>
    <t>6.3.1</t>
  </si>
  <si>
    <t>6.3.2</t>
  </si>
  <si>
    <t>6.3.3</t>
  </si>
  <si>
    <t>Neeme purgimiskoht ja reoveepuhasti rek. (torustikud, hoone ja seadmed)</t>
  </si>
  <si>
    <t>Iru sadevesi 2</t>
  </si>
  <si>
    <t>Kostiv, reservis</t>
  </si>
  <si>
    <t>Loo Lindström II</t>
  </si>
  <si>
    <t>Veesaaste 2021</t>
  </si>
  <si>
    <t>Veesaaste 2021 kokku</t>
  </si>
  <si>
    <t>Veesaaste 2022</t>
  </si>
  <si>
    <t>Veesaaste 2022 kokku</t>
  </si>
  <si>
    <t>Veesaaste 2023</t>
  </si>
  <si>
    <t>Veesaaste 2023 kokku</t>
  </si>
  <si>
    <t>Veesaaste 2024</t>
  </si>
  <si>
    <t>Veesaaste 2024 kokku</t>
  </si>
  <si>
    <t>Veesaaste 2025</t>
  </si>
  <si>
    <t>Veesaaste 2025 kokku</t>
  </si>
  <si>
    <t>6.3.4</t>
  </si>
  <si>
    <r>
      <t xml:space="preserve">Neemele purgitud reovee </t>
    </r>
    <r>
      <rPr>
        <i/>
        <u/>
        <sz val="10"/>
        <rFont val="Arial"/>
        <family val="2"/>
        <charset val="186"/>
      </rPr>
      <t>müügimahu osakaal</t>
    </r>
    <r>
      <rPr>
        <i/>
        <sz val="10"/>
        <rFont val="Arial"/>
        <family val="2"/>
        <charset val="186"/>
      </rPr>
      <t xml:space="preserve"> Neeme reoveepuhasti müügimahust</t>
    </r>
  </si>
  <si>
    <r>
      <t xml:space="preserve">Neemele purgitud reovee </t>
    </r>
    <r>
      <rPr>
        <i/>
        <u/>
        <sz val="10"/>
        <rFont val="Arial"/>
        <family val="2"/>
        <charset val="186"/>
      </rPr>
      <t>suhteline osakaal</t>
    </r>
    <r>
      <rPr>
        <i/>
        <sz val="10"/>
        <rFont val="Arial"/>
        <family val="2"/>
        <charset val="186"/>
      </rPr>
      <t xml:space="preserve"> Neeme reoveepuhasti müügimahust</t>
    </r>
  </si>
  <si>
    <t>6.5</t>
  </si>
  <si>
    <t>6.6</t>
  </si>
  <si>
    <t>Neeme ühisveevärgi ja -kanalisatsiooni laiendamine</t>
  </si>
  <si>
    <t>Loo aleviku reoveepuhasti</t>
  </si>
  <si>
    <t>Loo sademeveekanalisatsiooni rajamine</t>
  </si>
  <si>
    <t>25 - Jan</t>
  </si>
</sst>
</file>

<file path=xl/styles.xml><?xml version="1.0" encoding="utf-8"?>
<styleSheet xmlns="http://schemas.openxmlformats.org/spreadsheetml/2006/main">
  <numFmts count="18">
    <numFmt numFmtId="164" formatCode="#,##0.0"/>
    <numFmt numFmtId="165" formatCode="0.0"/>
    <numFmt numFmtId="166" formatCode="0.000"/>
    <numFmt numFmtId="167" formatCode="#,##0.000"/>
    <numFmt numFmtId="168" formatCode="#,##0\ [$€-1]"/>
    <numFmt numFmtId="169" formatCode="#,##0\ [$€-425]"/>
    <numFmt numFmtId="170" formatCode="0.0%"/>
    <numFmt numFmtId="171" formatCode="0.0000"/>
    <numFmt numFmtId="172" formatCode="#,##0.00\ [$€-1]"/>
    <numFmt numFmtId="173" formatCode="#,##0.00000\ [$€-1]"/>
    <numFmt numFmtId="174" formatCode="0.00000"/>
    <numFmt numFmtId="175" formatCode="0.000000"/>
    <numFmt numFmtId="176" formatCode="#,##0.0000\ [$€-1]"/>
    <numFmt numFmtId="177" formatCode="#,##0.00000"/>
    <numFmt numFmtId="178" formatCode="#,##0.0000000\ [$€-1]"/>
    <numFmt numFmtId="179" formatCode="d\.mm\.yyyy;@"/>
    <numFmt numFmtId="180" formatCode="#,##0.000000\ [$€-1]"/>
    <numFmt numFmtId="181" formatCode="#,##0.00\ [$€-425]"/>
  </numFmts>
  <fonts count="124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Arial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  <charset val="186"/>
    </font>
    <font>
      <i/>
      <sz val="10"/>
      <name val="Arial"/>
      <family val="2"/>
      <charset val="186"/>
    </font>
    <font>
      <sz val="11"/>
      <color indexed="8"/>
      <name val="Helvetica Neue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  <font>
      <sz val="8"/>
      <name val="Calibri"/>
      <family val="2"/>
      <charset val="186"/>
      <scheme val="minor"/>
    </font>
    <font>
      <b/>
      <sz val="10"/>
      <color theme="3" tint="0.39997558519241921"/>
      <name val="Arial"/>
      <family val="2"/>
    </font>
    <font>
      <sz val="11"/>
      <color indexed="8"/>
      <name val="Times New Roman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i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8"/>
      <color rgb="FFFF000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i/>
      <sz val="8"/>
      <name val="Arial"/>
      <family val="2"/>
      <charset val="186"/>
    </font>
    <font>
      <sz val="14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9"/>
      <name val="Arial"/>
      <family val="2"/>
      <charset val="186"/>
    </font>
    <font>
      <sz val="12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rgb="FF0070C0"/>
      <name val="Arial"/>
      <family val="2"/>
    </font>
    <font>
      <b/>
      <sz val="11"/>
      <color rgb="FF000000"/>
      <name val="Calibri"/>
      <family val="2"/>
      <charset val="186"/>
      <scheme val="minor"/>
    </font>
    <font>
      <b/>
      <vertAlign val="subscript"/>
      <sz val="11"/>
      <name val="Calibri"/>
      <family val="2"/>
      <charset val="186"/>
      <scheme val="minor"/>
    </font>
    <font>
      <sz val="9"/>
      <color rgb="FF0070C0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i/>
      <sz val="10"/>
      <color rgb="FF92D050"/>
      <name val="Arial"/>
      <family val="2"/>
    </font>
    <font>
      <b/>
      <sz val="9"/>
      <name val="Calibri"/>
      <family val="2"/>
      <charset val="186"/>
      <scheme val="minor"/>
    </font>
    <font>
      <sz val="8"/>
      <color theme="3" tint="0.39997558519241921"/>
      <name val="Arial"/>
      <family val="2"/>
    </font>
    <font>
      <sz val="8"/>
      <name val="Calibri"/>
      <family val="2"/>
      <charset val="186"/>
    </font>
    <font>
      <b/>
      <sz val="10"/>
      <color indexed="12"/>
      <name val="Arial"/>
      <family val="2"/>
      <charset val="186"/>
    </font>
    <font>
      <sz val="10"/>
      <color rgb="FF0000FF"/>
      <name val="Arial"/>
      <family val="2"/>
      <charset val="186"/>
    </font>
    <font>
      <sz val="11"/>
      <name val="Calibri"/>
      <family val="2"/>
      <charset val="186"/>
    </font>
    <font>
      <vertAlign val="superscript"/>
      <sz val="8"/>
      <color indexed="81"/>
      <name val="Tahoma"/>
      <family val="2"/>
      <charset val="186"/>
    </font>
    <font>
      <b/>
      <vertAlign val="superscript"/>
      <sz val="10"/>
      <name val="Arial"/>
      <family val="2"/>
    </font>
    <font>
      <vertAlign val="superscript"/>
      <sz val="1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8"/>
      <color rgb="FF0000FF"/>
      <name val="Arial"/>
      <family val="2"/>
      <charset val="186"/>
    </font>
    <font>
      <vertAlign val="superscript"/>
      <sz val="9"/>
      <color indexed="81"/>
      <name val="Tahoma"/>
      <family val="2"/>
      <charset val="186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u/>
      <sz val="10"/>
      <color theme="1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vertAlign val="superscript"/>
      <sz val="8"/>
      <color indexed="81"/>
      <name val="Tahoma"/>
      <family val="2"/>
      <charset val="186"/>
    </font>
    <font>
      <b/>
      <u/>
      <sz val="8"/>
      <color indexed="81"/>
      <name val="Tahoma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u/>
      <sz val="10"/>
      <color indexed="12"/>
      <name val="Calibri"/>
      <family val="2"/>
      <charset val="186"/>
      <scheme val="minor"/>
    </font>
    <font>
      <b/>
      <vertAlign val="superscript"/>
      <sz val="8"/>
      <name val="Arial"/>
      <family val="2"/>
      <charset val="186"/>
    </font>
    <font>
      <vertAlign val="superscript"/>
      <sz val="8"/>
      <name val="Arial"/>
      <family val="2"/>
      <charset val="186"/>
    </font>
    <font>
      <b/>
      <i/>
      <vertAlign val="superscript"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9"/>
      <color indexed="81"/>
      <name val="Tahoma"/>
      <family val="2"/>
      <charset val="186"/>
    </font>
    <font>
      <i/>
      <u/>
      <sz val="10"/>
      <name val="Arial"/>
      <family val="2"/>
      <charset val="186"/>
    </font>
    <font>
      <b/>
      <u/>
      <sz val="9"/>
      <color indexed="81"/>
      <name val="Tahoma"/>
      <family val="2"/>
      <charset val="186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4" fillId="0" borderId="0"/>
    <xf numFmtId="0" fontId="29" fillId="0" borderId="0" applyNumberFormat="0" applyFill="0" applyBorder="0" applyProtection="0">
      <alignment vertical="top"/>
    </xf>
    <xf numFmtId="0" fontId="12" fillId="0" borderId="0"/>
    <xf numFmtId="0" fontId="30" fillId="0" borderId="0"/>
    <xf numFmtId="0" fontId="16" fillId="0" borderId="0"/>
    <xf numFmtId="0" fontId="16" fillId="0" borderId="0"/>
    <xf numFmtId="0" fontId="12" fillId="0" borderId="0"/>
    <xf numFmtId="0" fontId="10" fillId="0" borderId="0"/>
    <xf numFmtId="0" fontId="16" fillId="0" borderId="0"/>
    <xf numFmtId="9" fontId="54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71">
    <xf numFmtId="0" fontId="0" fillId="0" borderId="0" xfId="0"/>
    <xf numFmtId="0" fontId="16" fillId="3" borderId="38" xfId="8" applyFont="1" applyFill="1" applyBorder="1" applyProtection="1"/>
    <xf numFmtId="0" fontId="16" fillId="3" borderId="38" xfId="0" applyFont="1" applyFill="1" applyBorder="1" applyProtection="1"/>
    <xf numFmtId="0" fontId="13" fillId="0" borderId="0" xfId="5" applyFont="1" applyFill="1" applyAlignment="1" applyProtection="1">
      <alignment horizontal="center" vertical="center"/>
    </xf>
    <xf numFmtId="0" fontId="16" fillId="3" borderId="29" xfId="0" applyFont="1" applyFill="1" applyBorder="1" applyProtection="1"/>
    <xf numFmtId="49" fontId="15" fillId="0" borderId="1" xfId="5" applyNumberFormat="1" applyFont="1" applyFill="1" applyBorder="1" applyAlignment="1" applyProtection="1">
      <alignment horizontal="center" vertical="center"/>
    </xf>
    <xf numFmtId="3" fontId="16" fillId="21" borderId="1" xfId="5" applyNumberFormat="1" applyFont="1" applyFill="1" applyBorder="1" applyAlignment="1">
      <alignment horizontal="right" vertical="center"/>
    </xf>
    <xf numFmtId="0" fontId="15" fillId="0" borderId="1" xfId="5" applyFont="1" applyFill="1" applyBorder="1" applyAlignment="1" applyProtection="1">
      <alignment vertical="center"/>
    </xf>
    <xf numFmtId="0" fontId="16" fillId="0" borderId="1" xfId="5" applyFont="1" applyFill="1" applyBorder="1" applyAlignment="1" applyProtection="1">
      <alignment vertical="center"/>
    </xf>
    <xf numFmtId="3" fontId="15" fillId="0" borderId="1" xfId="5" applyNumberFormat="1" applyFont="1" applyFill="1" applyBorder="1" applyAlignment="1" applyProtection="1">
      <alignment horizontal="right" vertical="center" wrapText="1"/>
    </xf>
    <xf numFmtId="0" fontId="15" fillId="0" borderId="1" xfId="5" applyFont="1" applyFill="1" applyBorder="1" applyAlignment="1" applyProtection="1">
      <alignment vertical="center" wrapText="1"/>
    </xf>
    <xf numFmtId="49" fontId="17" fillId="0" borderId="1" xfId="5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 applyProtection="1">
      <alignment vertical="center" wrapText="1"/>
    </xf>
    <xf numFmtId="3" fontId="16" fillId="0" borderId="1" xfId="5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17" xfId="5" applyFont="1" applyBorder="1" applyAlignment="1">
      <alignment vertical="center"/>
    </xf>
    <xf numFmtId="3" fontId="17" fillId="4" borderId="1" xfId="0" applyNumberFormat="1" applyFont="1" applyFill="1" applyBorder="1" applyAlignment="1" applyProtection="1">
      <alignment vertical="center"/>
    </xf>
    <xf numFmtId="3" fontId="17" fillId="4" borderId="1" xfId="0" applyNumberFormat="1" applyFont="1" applyFill="1" applyBorder="1" applyAlignment="1" applyProtection="1">
      <alignment vertical="center" wrapText="1"/>
    </xf>
    <xf numFmtId="3" fontId="16" fillId="21" borderId="1" xfId="5" applyNumberFormat="1" applyFont="1" applyFill="1" applyBorder="1" applyAlignment="1">
      <alignment vertical="center"/>
    </xf>
    <xf numFmtId="3" fontId="17" fillId="11" borderId="1" xfId="0" applyNumberFormat="1" applyFont="1" applyFill="1" applyBorder="1" applyAlignment="1" applyProtection="1">
      <alignment vertical="center" wrapText="1"/>
      <protection locked="0"/>
    </xf>
    <xf numFmtId="0" fontId="56" fillId="0" borderId="0" xfId="0" applyFont="1"/>
    <xf numFmtId="0" fontId="57" fillId="0" borderId="0" xfId="0" applyFont="1"/>
    <xf numFmtId="0" fontId="56" fillId="0" borderId="0" xfId="4" applyNumberFormat="1" applyFont="1" applyFill="1" applyBorder="1" applyAlignment="1">
      <alignment vertical="top"/>
    </xf>
    <xf numFmtId="0" fontId="56" fillId="0" borderId="0" xfId="4" applyNumberFormat="1" applyFont="1" applyFill="1" applyBorder="1" applyAlignment="1">
      <alignment vertical="center"/>
    </xf>
    <xf numFmtId="0" fontId="56" fillId="0" borderId="0" xfId="4" applyNumberFormat="1" applyFont="1" applyFill="1" applyBorder="1" applyAlignment="1">
      <alignment horizontal="center" vertical="center"/>
    </xf>
    <xf numFmtId="0" fontId="36" fillId="7" borderId="10" xfId="4" applyNumberFormat="1" applyFont="1" applyFill="1" applyBorder="1" applyAlignment="1">
      <alignment vertical="center" wrapText="1"/>
    </xf>
    <xf numFmtId="3" fontId="17" fillId="7" borderId="10" xfId="4" applyNumberFormat="1" applyFont="1" applyFill="1" applyBorder="1" applyAlignment="1">
      <alignment horizontal="right" vertical="center"/>
    </xf>
    <xf numFmtId="3" fontId="17" fillId="7" borderId="46" xfId="4" applyNumberFormat="1" applyFont="1" applyFill="1" applyBorder="1" applyAlignment="1">
      <alignment horizontal="right" vertical="center"/>
    </xf>
    <xf numFmtId="3" fontId="17" fillId="7" borderId="66" xfId="4" applyNumberFormat="1" applyFont="1" applyFill="1" applyBorder="1" applyAlignment="1">
      <alignment horizontal="right" vertical="center"/>
    </xf>
    <xf numFmtId="3" fontId="17" fillId="7" borderId="65" xfId="4" applyNumberFormat="1" applyFont="1" applyFill="1" applyBorder="1" applyAlignment="1">
      <alignment horizontal="right" vertical="center"/>
    </xf>
    <xf numFmtId="3" fontId="17" fillId="7" borderId="9" xfId="4" applyNumberFormat="1" applyFont="1" applyFill="1" applyBorder="1" applyAlignment="1">
      <alignment horizontal="right" vertical="center"/>
    </xf>
    <xf numFmtId="3" fontId="36" fillId="7" borderId="46" xfId="4" applyNumberFormat="1" applyFont="1" applyFill="1" applyBorder="1" applyAlignment="1">
      <alignment horizontal="right" vertical="center"/>
    </xf>
    <xf numFmtId="3" fontId="36" fillId="7" borderId="66" xfId="4" applyNumberFormat="1" applyFont="1" applyFill="1" applyBorder="1" applyAlignment="1">
      <alignment horizontal="right" vertical="center"/>
    </xf>
    <xf numFmtId="3" fontId="36" fillId="7" borderId="10" xfId="4" applyNumberFormat="1" applyFont="1" applyFill="1" applyBorder="1" applyAlignment="1">
      <alignment horizontal="right" vertical="center"/>
    </xf>
    <xf numFmtId="0" fontId="57" fillId="0" borderId="0" xfId="4" applyNumberFormat="1" applyFont="1" applyFill="1" applyBorder="1" applyAlignment="1">
      <alignment vertical="center"/>
    </xf>
    <xf numFmtId="0" fontId="35" fillId="0" borderId="1" xfId="4" applyNumberFormat="1" applyFont="1" applyFill="1" applyBorder="1" applyAlignment="1">
      <alignment vertical="center"/>
    </xf>
    <xf numFmtId="3" fontId="16" fillId="0" borderId="1" xfId="4" applyNumberFormat="1" applyFont="1" applyFill="1" applyBorder="1" applyAlignment="1">
      <alignment horizontal="right" vertical="center"/>
    </xf>
    <xf numFmtId="3" fontId="16" fillId="0" borderId="4" xfId="4" applyNumberFormat="1" applyFont="1" applyFill="1" applyBorder="1" applyAlignment="1">
      <alignment horizontal="right" vertical="center"/>
    </xf>
    <xf numFmtId="3" fontId="16" fillId="0" borderId="47" xfId="4" applyNumberFormat="1" applyFont="1" applyFill="1" applyBorder="1" applyAlignment="1">
      <alignment horizontal="right" vertical="center"/>
    </xf>
    <xf numFmtId="3" fontId="16" fillId="0" borderId="7" xfId="4" applyNumberFormat="1" applyFont="1" applyFill="1" applyBorder="1" applyAlignment="1">
      <alignment horizontal="right" vertical="center"/>
    </xf>
    <xf numFmtId="3" fontId="16" fillId="0" borderId="3" xfId="4" applyNumberFormat="1" applyFont="1" applyFill="1" applyBorder="1" applyAlignment="1">
      <alignment horizontal="right" vertical="center"/>
    </xf>
    <xf numFmtId="3" fontId="35" fillId="0" borderId="4" xfId="4" applyNumberFormat="1" applyFont="1" applyFill="1" applyBorder="1" applyAlignment="1">
      <alignment horizontal="right" vertical="center"/>
    </xf>
    <xf numFmtId="3" fontId="36" fillId="0" borderId="47" xfId="4" applyNumberFormat="1" applyFont="1" applyFill="1" applyBorder="1" applyAlignment="1">
      <alignment horizontal="right" vertical="center"/>
    </xf>
    <xf numFmtId="3" fontId="36" fillId="0" borderId="1" xfId="4" applyNumberFormat="1" applyFont="1" applyFill="1" applyBorder="1" applyAlignment="1">
      <alignment horizontal="right" vertical="center"/>
    </xf>
    <xf numFmtId="0" fontId="35" fillId="0" borderId="1" xfId="4" applyNumberFormat="1" applyFont="1" applyFill="1" applyBorder="1" applyAlignment="1">
      <alignment horizontal="left" vertical="center" wrapText="1"/>
    </xf>
    <xf numFmtId="0" fontId="35" fillId="0" borderId="1" xfId="4" applyNumberFormat="1" applyFont="1" applyFill="1" applyBorder="1" applyAlignment="1">
      <alignment horizontal="left" vertical="center"/>
    </xf>
    <xf numFmtId="0" fontId="36" fillId="9" borderId="1" xfId="4" applyNumberFormat="1" applyFont="1" applyFill="1" applyBorder="1" applyAlignment="1">
      <alignment vertical="center" wrapText="1"/>
    </xf>
    <xf numFmtId="3" fontId="17" fillId="9" borderId="1" xfId="4" applyNumberFormat="1" applyFont="1" applyFill="1" applyBorder="1" applyAlignment="1">
      <alignment horizontal="right" vertical="center"/>
    </xf>
    <xf numFmtId="3" fontId="17" fillId="9" borderId="4" xfId="4" applyNumberFormat="1" applyFont="1" applyFill="1" applyBorder="1" applyAlignment="1">
      <alignment horizontal="right" vertical="center"/>
    </xf>
    <xf numFmtId="3" fontId="17" fillId="9" borderId="47" xfId="4" applyNumberFormat="1" applyFont="1" applyFill="1" applyBorder="1" applyAlignment="1">
      <alignment horizontal="right" vertical="center"/>
    </xf>
    <xf numFmtId="3" fontId="17" fillId="9" borderId="7" xfId="4" applyNumberFormat="1" applyFont="1" applyFill="1" applyBorder="1" applyAlignment="1">
      <alignment horizontal="right" vertical="center"/>
    </xf>
    <xf numFmtId="3" fontId="17" fillId="9" borderId="3" xfId="4" applyNumberFormat="1" applyFont="1" applyFill="1" applyBorder="1" applyAlignment="1">
      <alignment horizontal="right" vertical="center"/>
    </xf>
    <xf numFmtId="3" fontId="36" fillId="9" borderId="4" xfId="4" applyNumberFormat="1" applyFont="1" applyFill="1" applyBorder="1" applyAlignment="1">
      <alignment horizontal="right" vertical="center"/>
    </xf>
    <xf numFmtId="3" fontId="36" fillId="9" borderId="47" xfId="4" applyNumberFormat="1" applyFont="1" applyFill="1" applyBorder="1" applyAlignment="1">
      <alignment horizontal="right" vertical="center"/>
    </xf>
    <xf numFmtId="3" fontId="36" fillId="9" borderId="1" xfId="4" applyNumberFormat="1" applyFont="1" applyFill="1" applyBorder="1" applyAlignment="1">
      <alignment horizontal="right" vertical="center"/>
    </xf>
    <xf numFmtId="0" fontId="35" fillId="0" borderId="6" xfId="4" applyNumberFormat="1" applyFont="1" applyFill="1" applyBorder="1" applyAlignment="1">
      <alignment horizontal="left" vertical="center"/>
    </xf>
    <xf numFmtId="3" fontId="16" fillId="0" borderId="6" xfId="4" applyNumberFormat="1" applyFont="1" applyFill="1" applyBorder="1" applyAlignment="1">
      <alignment horizontal="right" vertical="center"/>
    </xf>
    <xf numFmtId="3" fontId="16" fillId="0" borderId="26" xfId="4" applyNumberFormat="1" applyFont="1" applyFill="1" applyBorder="1" applyAlignment="1">
      <alignment horizontal="right" vertical="center"/>
    </xf>
    <xf numFmtId="3" fontId="16" fillId="0" borderId="48" xfId="4" applyNumberFormat="1" applyFont="1" applyFill="1" applyBorder="1" applyAlignment="1">
      <alignment horizontal="right" vertical="center"/>
    </xf>
    <xf numFmtId="3" fontId="16" fillId="0" borderId="8" xfId="4" applyNumberFormat="1" applyFont="1" applyFill="1" applyBorder="1" applyAlignment="1">
      <alignment horizontal="right" vertical="center"/>
    </xf>
    <xf numFmtId="3" fontId="16" fillId="0" borderId="5" xfId="4" applyNumberFormat="1" applyFont="1" applyFill="1" applyBorder="1" applyAlignment="1">
      <alignment horizontal="right" vertical="center"/>
    </xf>
    <xf numFmtId="3" fontId="35" fillId="0" borderId="26" xfId="4" applyNumberFormat="1" applyFont="1" applyFill="1" applyBorder="1" applyAlignment="1">
      <alignment horizontal="right" vertical="center"/>
    </xf>
    <xf numFmtId="3" fontId="36" fillId="0" borderId="48" xfId="4" applyNumberFormat="1" applyFont="1" applyFill="1" applyBorder="1" applyAlignment="1">
      <alignment horizontal="right" vertical="center"/>
    </xf>
    <xf numFmtId="3" fontId="36" fillId="0" borderId="6" xfId="4" applyNumberFormat="1" applyFont="1" applyFill="1" applyBorder="1" applyAlignment="1">
      <alignment horizontal="right" vertical="center"/>
    </xf>
    <xf numFmtId="0" fontId="36" fillId="10" borderId="53" xfId="4" applyNumberFormat="1" applyFont="1" applyFill="1" applyBorder="1" applyAlignment="1">
      <alignment vertical="center" wrapText="1"/>
    </xf>
    <xf numFmtId="3" fontId="17" fillId="10" borderId="63" xfId="4" applyNumberFormat="1" applyFont="1" applyFill="1" applyBorder="1" applyAlignment="1">
      <alignment horizontal="right" vertical="center"/>
    </xf>
    <xf numFmtId="3" fontId="17" fillId="10" borderId="53" xfId="4" applyNumberFormat="1" applyFont="1" applyFill="1" applyBorder="1" applyAlignment="1">
      <alignment horizontal="right" vertical="center"/>
    </xf>
    <xf numFmtId="0" fontId="56" fillId="0" borderId="0" xfId="0" applyFont="1" applyAlignment="1">
      <alignment vertical="center"/>
    </xf>
    <xf numFmtId="0" fontId="35" fillId="14" borderId="1" xfId="4" applyNumberFormat="1" applyFont="1" applyFill="1" applyBorder="1" applyAlignment="1">
      <alignment vertical="center"/>
    </xf>
    <xf numFmtId="3" fontId="16" fillId="14" borderId="47" xfId="4" applyNumberFormat="1" applyFont="1" applyFill="1" applyBorder="1" applyAlignment="1">
      <alignment horizontal="right" vertical="center"/>
    </xf>
    <xf numFmtId="3" fontId="17" fillId="14" borderId="47" xfId="4" applyNumberFormat="1" applyFont="1" applyFill="1" applyBorder="1" applyAlignment="1">
      <alignment horizontal="right" vertical="center"/>
    </xf>
    <xf numFmtId="3" fontId="17" fillId="14" borderId="1" xfId="4" applyNumberFormat="1" applyFont="1" applyFill="1" applyBorder="1" applyAlignment="1">
      <alignment horizontal="right" vertical="center"/>
    </xf>
    <xf numFmtId="0" fontId="35" fillId="14" borderId="1" xfId="4" applyNumberFormat="1" applyFont="1" applyFill="1" applyBorder="1" applyAlignment="1">
      <alignment horizontal="left" vertical="center" wrapText="1"/>
    </xf>
    <xf numFmtId="0" fontId="35" fillId="14" borderId="6" xfId="4" applyNumberFormat="1" applyFont="1" applyFill="1" applyBorder="1" applyAlignment="1">
      <alignment horizontal="left" vertical="center"/>
    </xf>
    <xf numFmtId="3" fontId="16" fillId="14" borderId="48" xfId="4" applyNumberFormat="1" applyFont="1" applyFill="1" applyBorder="1" applyAlignment="1">
      <alignment horizontal="right" vertical="center"/>
    </xf>
    <xf numFmtId="3" fontId="17" fillId="14" borderId="48" xfId="4" applyNumberFormat="1" applyFont="1" applyFill="1" applyBorder="1" applyAlignment="1">
      <alignment horizontal="right" vertical="center"/>
    </xf>
    <xf numFmtId="0" fontId="36" fillId="7" borderId="53" xfId="4" applyNumberFormat="1" applyFont="1" applyFill="1" applyBorder="1" applyAlignment="1">
      <alignment vertical="center" wrapText="1"/>
    </xf>
    <xf numFmtId="3" fontId="36" fillId="7" borderId="63" xfId="4" applyNumberFormat="1" applyFont="1" applyFill="1" applyBorder="1" applyAlignment="1">
      <alignment horizontal="right" vertical="center"/>
    </xf>
    <xf numFmtId="0" fontId="35" fillId="6" borderId="1" xfId="4" applyNumberFormat="1" applyFont="1" applyFill="1" applyBorder="1" applyAlignment="1">
      <alignment vertical="center"/>
    </xf>
    <xf numFmtId="3" fontId="16" fillId="6" borderId="47" xfId="4" applyNumberFormat="1" applyFont="1" applyFill="1" applyBorder="1" applyAlignment="1">
      <alignment horizontal="right" vertical="center"/>
    </xf>
    <xf numFmtId="3" fontId="36" fillId="6" borderId="47" xfId="4" applyNumberFormat="1" applyFont="1" applyFill="1" applyBorder="1" applyAlignment="1">
      <alignment horizontal="right" vertical="center"/>
    </xf>
    <xf numFmtId="3" fontId="36" fillId="6" borderId="1" xfId="4" applyNumberFormat="1" applyFont="1" applyFill="1" applyBorder="1" applyAlignment="1">
      <alignment horizontal="right" vertical="center"/>
    </xf>
    <xf numFmtId="0" fontId="35" fillId="6" borderId="1" xfId="4" applyNumberFormat="1" applyFont="1" applyFill="1" applyBorder="1" applyAlignment="1">
      <alignment horizontal="left" vertical="center" wrapText="1"/>
    </xf>
    <xf numFmtId="0" fontId="35" fillId="6" borderId="1" xfId="4" applyNumberFormat="1" applyFont="1" applyFill="1" applyBorder="1" applyAlignment="1">
      <alignment horizontal="left" vertical="center"/>
    </xf>
    <xf numFmtId="0" fontId="35" fillId="8" borderId="1" xfId="4" applyNumberFormat="1" applyFont="1" applyFill="1" applyBorder="1" applyAlignment="1">
      <alignment vertical="center"/>
    </xf>
    <xf numFmtId="3" fontId="16" fillId="8" borderId="47" xfId="4" applyNumberFormat="1" applyFont="1" applyFill="1" applyBorder="1" applyAlignment="1">
      <alignment horizontal="right" vertical="center"/>
    </xf>
    <xf numFmtId="3" fontId="36" fillId="8" borderId="47" xfId="4" applyNumberFormat="1" applyFont="1" applyFill="1" applyBorder="1" applyAlignment="1">
      <alignment horizontal="right" vertical="center"/>
    </xf>
    <xf numFmtId="3" fontId="36" fillId="8" borderId="1" xfId="4" applyNumberFormat="1" applyFont="1" applyFill="1" applyBorder="1" applyAlignment="1">
      <alignment horizontal="right" vertical="center"/>
    </xf>
    <xf numFmtId="0" fontId="35" fillId="8" borderId="1" xfId="4" applyNumberFormat="1" applyFont="1" applyFill="1" applyBorder="1" applyAlignment="1">
      <alignment horizontal="left" vertical="center" wrapText="1"/>
    </xf>
    <xf numFmtId="0" fontId="35" fillId="8" borderId="1" xfId="4" applyNumberFormat="1" applyFont="1" applyFill="1" applyBorder="1" applyAlignment="1">
      <alignment horizontal="left" vertical="center"/>
    </xf>
    <xf numFmtId="0" fontId="36" fillId="7" borderId="1" xfId="4" applyNumberFormat="1" applyFont="1" applyFill="1" applyBorder="1" applyAlignment="1">
      <alignment vertical="center" wrapText="1"/>
    </xf>
    <xf numFmtId="3" fontId="36" fillId="7" borderId="47" xfId="4" applyNumberFormat="1" applyFont="1" applyFill="1" applyBorder="1" applyAlignment="1">
      <alignment horizontal="right" vertical="center"/>
    </xf>
    <xf numFmtId="3" fontId="36" fillId="7" borderId="1" xfId="4" applyNumberFormat="1" applyFont="1" applyFill="1" applyBorder="1" applyAlignment="1">
      <alignment horizontal="right" vertical="center"/>
    </xf>
    <xf numFmtId="0" fontId="36" fillId="7" borderId="1" xfId="4" applyNumberFormat="1" applyFont="1" applyFill="1" applyBorder="1" applyAlignment="1">
      <alignment vertical="center"/>
    </xf>
    <xf numFmtId="0" fontId="36" fillId="9" borderId="1" xfId="4" applyNumberFormat="1" applyFont="1" applyFill="1" applyBorder="1" applyAlignment="1">
      <alignment vertical="center"/>
    </xf>
    <xf numFmtId="0" fontId="35" fillId="8" borderId="11" xfId="4" applyNumberFormat="1" applyFont="1" applyFill="1" applyBorder="1" applyAlignment="1">
      <alignment horizontal="left" vertical="center"/>
    </xf>
    <xf numFmtId="3" fontId="16" fillId="8" borderId="64" xfId="4" applyNumberFormat="1" applyFont="1" applyFill="1" applyBorder="1" applyAlignment="1">
      <alignment horizontal="right" vertical="center"/>
    </xf>
    <xf numFmtId="3" fontId="36" fillId="8" borderId="64" xfId="4" applyNumberFormat="1" applyFont="1" applyFill="1" applyBorder="1" applyAlignment="1">
      <alignment horizontal="right" vertical="center"/>
    </xf>
    <xf numFmtId="3" fontId="36" fillId="8" borderId="11" xfId="4" applyNumberFormat="1" applyFont="1" applyFill="1" applyBorder="1" applyAlignment="1">
      <alignment horizontal="right" vertical="center"/>
    </xf>
    <xf numFmtId="0" fontId="56" fillId="0" borderId="0" xfId="0" applyFont="1" applyFill="1" applyAlignment="1">
      <alignment vertical="center"/>
    </xf>
    <xf numFmtId="0" fontId="57" fillId="0" borderId="0" xfId="0" applyFont="1" applyAlignment="1">
      <alignment vertical="center"/>
    </xf>
    <xf numFmtId="0" fontId="35" fillId="0" borderId="0" xfId="4" applyNumberFormat="1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36" fillId="20" borderId="6" xfId="4" applyNumberFormat="1" applyFont="1" applyFill="1" applyBorder="1" applyAlignment="1">
      <alignment vertical="center" wrapText="1"/>
    </xf>
    <xf numFmtId="3" fontId="17" fillId="10" borderId="54" xfId="4" applyNumberFormat="1" applyFont="1" applyFill="1" applyBorder="1" applyAlignment="1">
      <alignment horizontal="right" vertical="center"/>
    </xf>
    <xf numFmtId="0" fontId="56" fillId="0" borderId="0" xfId="0" applyFont="1" applyAlignment="1">
      <alignment horizontal="center"/>
    </xf>
    <xf numFmtId="0" fontId="36" fillId="7" borderId="9" xfId="4" applyNumberFormat="1" applyFont="1" applyFill="1" applyBorder="1" applyAlignment="1">
      <alignment horizontal="center" vertical="center"/>
    </xf>
    <xf numFmtId="0" fontId="35" fillId="0" borderId="3" xfId="4" applyNumberFormat="1" applyFont="1" applyFill="1" applyBorder="1" applyAlignment="1">
      <alignment horizontal="center" vertical="center"/>
    </xf>
    <xf numFmtId="0" fontId="36" fillId="9" borderId="3" xfId="4" applyNumberFormat="1" applyFont="1" applyFill="1" applyBorder="1" applyAlignment="1">
      <alignment horizontal="center" vertical="center"/>
    </xf>
    <xf numFmtId="0" fontId="35" fillId="0" borderId="5" xfId="4" applyNumberFormat="1" applyFont="1" applyFill="1" applyBorder="1" applyAlignment="1">
      <alignment horizontal="center" vertical="center"/>
    </xf>
    <xf numFmtId="0" fontId="36" fillId="10" borderId="52" xfId="4" applyNumberFormat="1" applyFont="1" applyFill="1" applyBorder="1" applyAlignment="1">
      <alignment horizontal="center" vertical="center"/>
    </xf>
    <xf numFmtId="0" fontId="35" fillId="14" borderId="3" xfId="4" applyNumberFormat="1" applyFont="1" applyFill="1" applyBorder="1" applyAlignment="1">
      <alignment horizontal="center" vertical="center"/>
    </xf>
    <xf numFmtId="0" fontId="35" fillId="14" borderId="5" xfId="4" applyNumberFormat="1" applyFont="1" applyFill="1" applyBorder="1" applyAlignment="1">
      <alignment horizontal="center" vertical="center"/>
    </xf>
    <xf numFmtId="0" fontId="36" fillId="7" borderId="52" xfId="4" applyNumberFormat="1" applyFont="1" applyFill="1" applyBorder="1" applyAlignment="1">
      <alignment horizontal="center" vertical="center"/>
    </xf>
    <xf numFmtId="0" fontId="35" fillId="6" borderId="3" xfId="4" applyNumberFormat="1" applyFont="1" applyFill="1" applyBorder="1" applyAlignment="1">
      <alignment horizontal="center" vertical="center"/>
    </xf>
    <xf numFmtId="0" fontId="35" fillId="8" borderId="3" xfId="4" applyNumberFormat="1" applyFont="1" applyFill="1" applyBorder="1" applyAlignment="1">
      <alignment horizontal="center" vertical="center"/>
    </xf>
    <xf numFmtId="0" fontId="36" fillId="7" borderId="3" xfId="4" applyNumberFormat="1" applyFont="1" applyFill="1" applyBorder="1" applyAlignment="1">
      <alignment horizontal="center" vertical="center"/>
    </xf>
    <xf numFmtId="0" fontId="35" fillId="8" borderId="19" xfId="4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20" borderId="3" xfId="4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3" fontId="17" fillId="7" borderId="53" xfId="4" applyNumberFormat="1" applyFont="1" applyFill="1" applyBorder="1" applyAlignment="1">
      <alignment horizontal="right" vertical="center"/>
    </xf>
    <xf numFmtId="3" fontId="17" fillId="7" borderId="54" xfId="4" applyNumberFormat="1" applyFont="1" applyFill="1" applyBorder="1" applyAlignment="1">
      <alignment horizontal="right" vertical="center"/>
    </xf>
    <xf numFmtId="3" fontId="17" fillId="7" borderId="63" xfId="4" applyNumberFormat="1" applyFont="1" applyFill="1" applyBorder="1" applyAlignment="1">
      <alignment horizontal="right" vertical="center"/>
    </xf>
    <xf numFmtId="3" fontId="17" fillId="7" borderId="1" xfId="4" applyNumberFormat="1" applyFont="1" applyFill="1" applyBorder="1" applyAlignment="1">
      <alignment horizontal="right" vertical="center"/>
    </xf>
    <xf numFmtId="3" fontId="17" fillId="7" borderId="4" xfId="4" applyNumberFormat="1" applyFont="1" applyFill="1" applyBorder="1" applyAlignment="1">
      <alignment horizontal="right" vertical="center"/>
    </xf>
    <xf numFmtId="3" fontId="17" fillId="7" borderId="47" xfId="4" applyNumberFormat="1" applyFont="1" applyFill="1" applyBorder="1" applyAlignment="1">
      <alignment horizontal="right" vertical="center"/>
    </xf>
    <xf numFmtId="0" fontId="17" fillId="20" borderId="9" xfId="4" applyNumberFormat="1" applyFont="1" applyFill="1" applyBorder="1" applyAlignment="1">
      <alignment horizontal="center" vertical="center"/>
    </xf>
    <xf numFmtId="0" fontId="36" fillId="20" borderId="5" xfId="4" applyNumberFormat="1" applyFont="1" applyFill="1" applyBorder="1" applyAlignment="1">
      <alignment horizontal="center" vertical="center" wrapText="1"/>
    </xf>
    <xf numFmtId="0" fontId="36" fillId="0" borderId="0" xfId="4" applyNumberFormat="1" applyFont="1" applyFill="1" applyBorder="1" applyAlignment="1">
      <alignment vertical="center"/>
    </xf>
    <xf numFmtId="0" fontId="17" fillId="0" borderId="10" xfId="4" applyNumberFormat="1" applyFont="1" applyFill="1" applyBorder="1" applyAlignment="1">
      <alignment vertical="center"/>
    </xf>
    <xf numFmtId="3" fontId="16" fillId="22" borderId="1" xfId="4" applyNumberFormat="1" applyFont="1" applyFill="1" applyBorder="1" applyAlignment="1">
      <alignment horizontal="right" vertical="center"/>
    </xf>
    <xf numFmtId="3" fontId="16" fillId="22" borderId="4" xfId="4" applyNumberFormat="1" applyFont="1" applyFill="1" applyBorder="1" applyAlignment="1">
      <alignment horizontal="right" vertical="center"/>
    </xf>
    <xf numFmtId="3" fontId="16" fillId="22" borderId="6" xfId="4" applyNumberFormat="1" applyFont="1" applyFill="1" applyBorder="1" applyAlignment="1">
      <alignment horizontal="right" vertical="center"/>
    </xf>
    <xf numFmtId="3" fontId="16" fillId="22" borderId="26" xfId="4" applyNumberFormat="1" applyFont="1" applyFill="1" applyBorder="1" applyAlignment="1">
      <alignment horizontal="right" vertical="center"/>
    </xf>
    <xf numFmtId="10" fontId="35" fillId="20" borderId="10" xfId="4" applyNumberFormat="1" applyFont="1" applyFill="1" applyBorder="1" applyAlignment="1">
      <alignment horizontal="right" vertical="center"/>
    </xf>
    <xf numFmtId="10" fontId="36" fillId="20" borderId="10" xfId="4" applyNumberFormat="1" applyFont="1" applyFill="1" applyBorder="1" applyAlignment="1">
      <alignment horizontal="right" vertical="center"/>
    </xf>
    <xf numFmtId="10" fontId="35" fillId="20" borderId="1" xfId="4" applyNumberFormat="1" applyFont="1" applyFill="1" applyBorder="1" applyAlignment="1">
      <alignment horizontal="right" vertical="center"/>
    </xf>
    <xf numFmtId="10" fontId="36" fillId="20" borderId="6" xfId="4" applyNumberFormat="1" applyFont="1" applyFill="1" applyBorder="1" applyAlignment="1">
      <alignment horizontal="right" vertical="center"/>
    </xf>
    <xf numFmtId="0" fontId="55" fillId="0" borderId="0" xfId="0" applyFont="1" applyBorder="1" applyAlignment="1">
      <alignment horizontal="right" vertical="center"/>
    </xf>
    <xf numFmtId="0" fontId="63" fillId="0" borderId="0" xfId="0" applyFont="1" applyAlignment="1">
      <alignment vertical="center"/>
    </xf>
    <xf numFmtId="0" fontId="15" fillId="0" borderId="0" xfId="0" applyFont="1" applyAlignment="1" applyProtection="1">
      <alignment vertical="center"/>
    </xf>
    <xf numFmtId="172" fontId="63" fillId="0" borderId="0" xfId="0" applyNumberFormat="1" applyFont="1" applyBorder="1" applyAlignment="1">
      <alignment vertical="center"/>
    </xf>
    <xf numFmtId="0" fontId="63" fillId="0" borderId="0" xfId="0" applyFont="1" applyAlignment="1">
      <alignment horizontal="center" vertical="center"/>
    </xf>
    <xf numFmtId="176" fontId="63" fillId="0" borderId="0" xfId="0" applyNumberFormat="1" applyFont="1" applyBorder="1" applyAlignment="1">
      <alignment vertical="center"/>
    </xf>
    <xf numFmtId="3" fontId="55" fillId="0" borderId="53" xfId="0" applyNumberFormat="1" applyFont="1" applyFill="1" applyBorder="1" applyAlignment="1">
      <alignment vertical="center"/>
    </xf>
    <xf numFmtId="0" fontId="72" fillId="0" borderId="17" xfId="5" applyFont="1" applyBorder="1" applyAlignment="1">
      <alignment vertical="center"/>
    </xf>
    <xf numFmtId="10" fontId="35" fillId="22" borderId="1" xfId="4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Border="1" applyProtection="1"/>
    <xf numFmtId="0" fontId="16" fillId="3" borderId="39" xfId="0" applyFont="1" applyFill="1" applyBorder="1" applyProtection="1"/>
    <xf numFmtId="0" fontId="17" fillId="0" borderId="4" xfId="0" applyFont="1" applyFill="1" applyBorder="1" applyAlignment="1" applyProtection="1">
      <alignment horizontal="center" vertical="center"/>
    </xf>
    <xf numFmtId="0" fontId="16" fillId="3" borderId="2" xfId="0" applyFont="1" applyFill="1" applyBorder="1" applyProtection="1"/>
    <xf numFmtId="0" fontId="16" fillId="3" borderId="30" xfId="0" applyFont="1" applyFill="1" applyBorder="1" applyProtection="1"/>
    <xf numFmtId="0" fontId="16" fillId="0" borderId="0" xfId="0" applyFont="1" applyFill="1"/>
    <xf numFmtId="0" fontId="16" fillId="3" borderId="0" xfId="0" applyFont="1" applyFill="1" applyBorder="1" applyAlignment="1" applyProtection="1">
      <alignment wrapText="1"/>
    </xf>
    <xf numFmtId="0" fontId="16" fillId="0" borderId="0" xfId="0" applyFont="1" applyFill="1" applyAlignment="1">
      <alignment vertical="center"/>
    </xf>
    <xf numFmtId="0" fontId="17" fillId="3" borderId="39" xfId="0" applyFont="1" applyFill="1" applyBorder="1" applyAlignment="1" applyProtection="1">
      <alignment wrapText="1"/>
    </xf>
    <xf numFmtId="0" fontId="16" fillId="3" borderId="40" xfId="0" applyFont="1" applyFill="1" applyBorder="1" applyProtection="1"/>
    <xf numFmtId="0" fontId="16" fillId="3" borderId="41" xfId="0" applyFont="1" applyFill="1" applyBorder="1" applyProtection="1"/>
    <xf numFmtId="0" fontId="16" fillId="3" borderId="42" xfId="0" applyFont="1" applyFill="1" applyBorder="1" applyProtection="1"/>
    <xf numFmtId="170" fontId="77" fillId="0" borderId="0" xfId="9" applyNumberFormat="1" applyFont="1" applyFill="1" applyAlignment="1">
      <alignment horizontal="center"/>
    </xf>
    <xf numFmtId="0" fontId="16" fillId="0" borderId="0" xfId="5" applyFont="1" applyAlignment="1">
      <alignment vertical="center"/>
    </xf>
    <xf numFmtId="3" fontId="16" fillId="0" borderId="7" xfId="5" applyNumberFormat="1" applyFont="1" applyFill="1" applyBorder="1" applyAlignment="1">
      <alignment horizontal="right" vertical="center"/>
    </xf>
    <xf numFmtId="167" fontId="16" fillId="21" borderId="3" xfId="5" applyNumberFormat="1" applyFont="1" applyFill="1" applyBorder="1" applyAlignment="1">
      <alignment horizontal="right" vertical="center"/>
    </xf>
    <xf numFmtId="3" fontId="16" fillId="0" borderId="4" xfId="5" applyNumberFormat="1" applyFont="1" applyFill="1" applyBorder="1" applyAlignment="1">
      <alignment horizontal="right" vertical="center"/>
    </xf>
    <xf numFmtId="0" fontId="17" fillId="0" borderId="0" xfId="5" applyFont="1" applyAlignment="1">
      <alignment vertical="center"/>
    </xf>
    <xf numFmtId="167" fontId="16" fillId="0" borderId="3" xfId="5" applyNumberFormat="1" applyFont="1" applyFill="1" applyBorder="1" applyAlignment="1">
      <alignment horizontal="right" vertical="center"/>
    </xf>
    <xf numFmtId="167" fontId="17" fillId="0" borderId="3" xfId="5" applyNumberFormat="1" applyFont="1" applyFill="1" applyBorder="1" applyAlignment="1">
      <alignment horizontal="right" vertical="center"/>
    </xf>
    <xf numFmtId="3" fontId="17" fillId="0" borderId="1" xfId="5" applyNumberFormat="1" applyFont="1" applyBorder="1" applyAlignment="1">
      <alignment horizontal="right" vertical="center"/>
    </xf>
    <xf numFmtId="0" fontId="72" fillId="0" borderId="3" xfId="5" applyFont="1" applyBorder="1" applyAlignment="1">
      <alignment horizontal="right" vertical="center"/>
    </xf>
    <xf numFmtId="0" fontId="72" fillId="0" borderId="1" xfId="5" applyFont="1" applyBorder="1" applyAlignment="1">
      <alignment horizontal="right" vertical="center"/>
    </xf>
    <xf numFmtId="0" fontId="44" fillId="0" borderId="1" xfId="5" applyFont="1" applyFill="1" applyBorder="1" applyAlignment="1">
      <alignment horizontal="right" vertical="center"/>
    </xf>
    <xf numFmtId="3" fontId="44" fillId="0" borderId="4" xfId="5" applyNumberFormat="1" applyFont="1" applyFill="1" applyBorder="1" applyAlignment="1">
      <alignment horizontal="right" vertical="center"/>
    </xf>
    <xf numFmtId="0" fontId="72" fillId="0" borderId="3" xfId="5" applyFont="1" applyFill="1" applyBorder="1" applyAlignment="1">
      <alignment horizontal="right" vertical="center"/>
    </xf>
    <xf numFmtId="0" fontId="72" fillId="0" borderId="0" xfId="5" applyFont="1" applyAlignment="1">
      <alignment vertical="center"/>
    </xf>
    <xf numFmtId="0" fontId="16" fillId="0" borderId="0" xfId="0" applyFont="1" applyBorder="1" applyAlignment="1">
      <alignment vertical="center"/>
    </xf>
    <xf numFmtId="165" fontId="31" fillId="3" borderId="49" xfId="0" applyNumberFormat="1" applyFont="1" applyFill="1" applyBorder="1" applyAlignment="1">
      <alignment horizontal="center" vertical="center" wrapText="1"/>
    </xf>
    <xf numFmtId="166" fontId="46" fillId="3" borderId="40" xfId="0" applyNumberFormat="1" applyFont="1" applyFill="1" applyBorder="1" applyAlignment="1">
      <alignment horizontal="center" vertical="center"/>
    </xf>
    <xf numFmtId="166" fontId="46" fillId="3" borderId="6" xfId="0" applyNumberFormat="1" applyFont="1" applyFill="1" applyBorder="1" applyAlignment="1">
      <alignment horizontal="center" vertical="center"/>
    </xf>
    <xf numFmtId="166" fontId="46" fillId="3" borderId="33" xfId="0" applyNumberFormat="1" applyFont="1" applyFill="1" applyBorder="1" applyAlignment="1">
      <alignment horizontal="center" vertical="center"/>
    </xf>
    <xf numFmtId="166" fontId="46" fillId="3" borderId="35" xfId="0" applyNumberFormat="1" applyFont="1" applyFill="1" applyBorder="1" applyAlignment="1">
      <alignment horizontal="center" vertical="center"/>
    </xf>
    <xf numFmtId="165" fontId="31" fillId="3" borderId="51" xfId="0" applyNumberFormat="1" applyFont="1" applyFill="1" applyBorder="1" applyAlignment="1">
      <alignment horizontal="center" vertical="center"/>
    </xf>
    <xf numFmtId="1" fontId="46" fillId="3" borderId="36" xfId="0" applyNumberFormat="1" applyFont="1" applyFill="1" applyBorder="1" applyAlignment="1">
      <alignment horizontal="center" vertical="center"/>
    </xf>
    <xf numFmtId="1" fontId="46" fillId="3" borderId="33" xfId="0" applyNumberFormat="1" applyFont="1" applyFill="1" applyBorder="1" applyAlignment="1">
      <alignment horizontal="center" vertical="center"/>
    </xf>
    <xf numFmtId="1" fontId="46" fillId="3" borderId="35" xfId="0" applyNumberFormat="1" applyFont="1" applyFill="1" applyBorder="1" applyAlignment="1">
      <alignment horizontal="center" vertical="center"/>
    </xf>
    <xf numFmtId="0" fontId="46" fillId="3" borderId="3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46" fillId="0" borderId="0" xfId="0" applyFont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31" fillId="6" borderId="0" xfId="0" applyFont="1" applyFill="1" applyAlignment="1">
      <alignment horizontal="left" vertical="center" wrapText="1"/>
    </xf>
    <xf numFmtId="0" fontId="31" fillId="6" borderId="0" xfId="0" applyFont="1" applyFill="1" applyAlignment="1">
      <alignment vertical="center"/>
    </xf>
    <xf numFmtId="165" fontId="31" fillId="6" borderId="0" xfId="0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168" fontId="31" fillId="6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68" fillId="0" borderId="0" xfId="0" applyFont="1" applyFill="1" applyAlignment="1">
      <alignment vertical="center"/>
    </xf>
    <xf numFmtId="165" fontId="68" fillId="0" borderId="0" xfId="0" applyNumberFormat="1" applyFont="1" applyFill="1" applyAlignment="1">
      <alignment horizontal="center" vertical="center"/>
    </xf>
    <xf numFmtId="0" fontId="68" fillId="0" borderId="0" xfId="0" applyFont="1" applyFill="1" applyAlignment="1">
      <alignment horizontal="center" vertical="center"/>
    </xf>
    <xf numFmtId="168" fontId="32" fillId="0" borderId="0" xfId="0" applyNumberFormat="1" applyFont="1" applyFill="1" applyAlignment="1">
      <alignment horizontal="center" vertical="center"/>
    </xf>
    <xf numFmtId="165" fontId="32" fillId="0" borderId="0" xfId="0" applyNumberFormat="1" applyFont="1" applyFill="1" applyAlignment="1">
      <alignment horizontal="right" vertical="center"/>
    </xf>
    <xf numFmtId="3" fontId="32" fillId="0" borderId="0" xfId="0" applyNumberFormat="1" applyFont="1" applyFill="1" applyAlignment="1">
      <alignment horizontal="left" vertical="center"/>
    </xf>
    <xf numFmtId="165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0" fontId="46" fillId="0" borderId="0" xfId="0" applyFont="1" applyFill="1" applyAlignment="1">
      <alignment horizontal="left" vertical="center"/>
    </xf>
    <xf numFmtId="0" fontId="48" fillId="6" borderId="0" xfId="0" applyFont="1" applyFill="1" applyAlignment="1">
      <alignment vertical="center"/>
    </xf>
    <xf numFmtId="165" fontId="48" fillId="6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31" fillId="0" borderId="41" xfId="0" applyFont="1" applyFill="1" applyBorder="1" applyAlignment="1">
      <alignment vertical="center"/>
    </xf>
    <xf numFmtId="1" fontId="48" fillId="0" borderId="41" xfId="0" applyNumberFormat="1" applyFont="1" applyBorder="1" applyAlignment="1">
      <alignment horizontal="center" vertical="center"/>
    </xf>
    <xf numFmtId="1" fontId="31" fillId="0" borderId="41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41" xfId="0" applyFont="1" applyBorder="1" applyAlignment="1">
      <alignment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3" fontId="46" fillId="0" borderId="0" xfId="0" applyNumberFormat="1" applyFont="1" applyAlignment="1">
      <alignment horizontal="right" vertical="center"/>
    </xf>
    <xf numFmtId="168" fontId="46" fillId="0" borderId="0" xfId="0" applyNumberFormat="1" applyFont="1" applyAlignment="1">
      <alignment horizontal="right" vertical="center"/>
    </xf>
    <xf numFmtId="168" fontId="18" fillId="0" borderId="0" xfId="0" applyNumberFormat="1" applyFont="1" applyFill="1" applyAlignment="1">
      <alignment horizontal="right" vertical="center"/>
    </xf>
    <xf numFmtId="0" fontId="46" fillId="0" borderId="28" xfId="0" applyFont="1" applyFill="1" applyBorder="1" applyAlignment="1">
      <alignment horizontal="left" vertical="center"/>
    </xf>
    <xf numFmtId="3" fontId="46" fillId="0" borderId="28" xfId="0" applyNumberFormat="1" applyFont="1" applyBorder="1" applyAlignment="1">
      <alignment horizontal="right" vertical="center"/>
    </xf>
    <xf numFmtId="168" fontId="46" fillId="0" borderId="28" xfId="0" applyNumberFormat="1" applyFont="1" applyBorder="1" applyAlignment="1">
      <alignment horizontal="right" vertical="center"/>
    </xf>
    <xf numFmtId="168" fontId="18" fillId="0" borderId="28" xfId="0" applyNumberFormat="1" applyFont="1" applyFill="1" applyBorder="1" applyAlignment="1">
      <alignment horizontal="right" vertical="center"/>
    </xf>
    <xf numFmtId="0" fontId="31" fillId="0" borderId="28" xfId="0" applyFont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3" fontId="31" fillId="6" borderId="0" xfId="0" applyNumberFormat="1" applyFont="1" applyFill="1" applyAlignment="1">
      <alignment horizontal="right" vertical="center"/>
    </xf>
    <xf numFmtId="168" fontId="31" fillId="6" borderId="12" xfId="0" applyNumberFormat="1" applyFont="1" applyFill="1" applyBorder="1" applyAlignment="1">
      <alignment horizontal="right" vertical="center"/>
    </xf>
    <xf numFmtId="168" fontId="46" fillId="0" borderId="0" xfId="0" applyNumberFormat="1" applyFont="1" applyBorder="1" applyAlignment="1">
      <alignment horizontal="right" vertical="center"/>
    </xf>
    <xf numFmtId="168" fontId="18" fillId="0" borderId="0" xfId="0" applyNumberFormat="1" applyFont="1" applyFill="1" applyBorder="1" applyAlignment="1">
      <alignment horizontal="right" vertical="center"/>
    </xf>
    <xf numFmtId="168" fontId="46" fillId="0" borderId="0" xfId="0" applyNumberFormat="1" applyFont="1" applyFill="1" applyBorder="1" applyAlignment="1">
      <alignment horizontal="right" vertical="center"/>
    </xf>
    <xf numFmtId="168" fontId="31" fillId="6" borderId="0" xfId="0" applyNumberFormat="1" applyFont="1" applyFill="1" applyAlignment="1">
      <alignment horizontal="right" vertical="center"/>
    </xf>
    <xf numFmtId="171" fontId="46" fillId="0" borderId="0" xfId="0" applyNumberFormat="1" applyFont="1" applyAlignment="1">
      <alignment horizontal="right" vertical="center"/>
    </xf>
    <xf numFmtId="171" fontId="46" fillId="0" borderId="0" xfId="0" applyNumberFormat="1" applyFont="1" applyBorder="1" applyAlignment="1">
      <alignment horizontal="right" vertical="center"/>
    </xf>
    <xf numFmtId="171" fontId="46" fillId="0" borderId="28" xfId="0" applyNumberFormat="1" applyFont="1" applyBorder="1" applyAlignment="1">
      <alignment horizontal="right" vertical="center"/>
    </xf>
    <xf numFmtId="171" fontId="31" fillId="6" borderId="0" xfId="0" applyNumberFormat="1" applyFont="1" applyFill="1" applyAlignment="1">
      <alignment horizontal="right" vertical="center"/>
    </xf>
    <xf numFmtId="168" fontId="31" fillId="6" borderId="0" xfId="0" applyNumberFormat="1" applyFont="1" applyFill="1" applyBorder="1" applyAlignment="1">
      <alignment horizontal="right" vertical="center"/>
    </xf>
    <xf numFmtId="3" fontId="55" fillId="0" borderId="75" xfId="0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165" fontId="48" fillId="0" borderId="0" xfId="0" applyNumberFormat="1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3" fontId="31" fillId="0" borderId="0" xfId="0" applyNumberFormat="1" applyFont="1" applyFill="1" applyAlignment="1">
      <alignment horizontal="right" vertical="center"/>
    </xf>
    <xf numFmtId="168" fontId="31" fillId="0" borderId="0" xfId="0" applyNumberFormat="1" applyFont="1" applyFill="1" applyBorder="1" applyAlignment="1">
      <alignment horizontal="right" vertical="center"/>
    </xf>
    <xf numFmtId="168" fontId="31" fillId="0" borderId="0" xfId="0" applyNumberFormat="1" applyFont="1" applyFill="1" applyAlignment="1">
      <alignment horizontal="center" vertical="center"/>
    </xf>
    <xf numFmtId="0" fontId="17" fillId="13" borderId="1" xfId="0" applyFont="1" applyFill="1" applyBorder="1" applyAlignment="1" applyProtection="1">
      <alignment horizontal="center" vertical="center" wrapText="1"/>
    </xf>
    <xf numFmtId="0" fontId="17" fillId="13" borderId="4" xfId="0" applyFont="1" applyFill="1" applyBorder="1" applyAlignment="1" applyProtection="1">
      <alignment horizontal="center" vertical="center" wrapText="1"/>
    </xf>
    <xf numFmtId="0" fontId="17" fillId="0" borderId="26" xfId="0" applyFont="1" applyFill="1" applyBorder="1" applyAlignment="1" applyProtection="1">
      <alignment horizontal="center" vertical="center"/>
    </xf>
    <xf numFmtId="0" fontId="63" fillId="0" borderId="75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vertical="center"/>
    </xf>
    <xf numFmtId="0" fontId="64" fillId="0" borderId="53" xfId="0" applyFont="1" applyFill="1" applyBorder="1" applyAlignment="1">
      <alignment vertical="center" wrapText="1"/>
    </xf>
    <xf numFmtId="0" fontId="64" fillId="0" borderId="7" xfId="0" applyFont="1" applyFill="1" applyBorder="1" applyAlignment="1">
      <alignment vertical="center" wrapText="1"/>
    </xf>
    <xf numFmtId="0" fontId="44" fillId="0" borderId="1" xfId="5" applyFont="1" applyFill="1" applyBorder="1" applyAlignment="1">
      <alignment vertical="center"/>
    </xf>
    <xf numFmtId="3" fontId="44" fillId="0" borderId="1" xfId="5" quotePrefix="1" applyNumberFormat="1" applyFont="1" applyFill="1" applyBorder="1" applyAlignment="1">
      <alignment horizontal="right" vertical="center"/>
    </xf>
    <xf numFmtId="0" fontId="44" fillId="0" borderId="0" xfId="5" applyFont="1" applyFill="1" applyBorder="1" applyAlignment="1">
      <alignment vertical="center"/>
    </xf>
    <xf numFmtId="3" fontId="55" fillId="0" borderId="1" xfId="0" applyNumberFormat="1" applyFont="1" applyFill="1" applyBorder="1" applyAlignment="1">
      <alignment vertical="center"/>
    </xf>
    <xf numFmtId="3" fontId="17" fillId="19" borderId="4" xfId="5" applyNumberFormat="1" applyFont="1" applyFill="1" applyBorder="1" applyAlignment="1">
      <alignment horizontal="right" vertical="center"/>
    </xf>
    <xf numFmtId="3" fontId="17" fillId="19" borderId="1" xfId="5" applyNumberFormat="1" applyFont="1" applyFill="1" applyBorder="1" applyAlignment="1">
      <alignment horizontal="right" vertical="center"/>
    </xf>
    <xf numFmtId="0" fontId="16" fillId="0" borderId="17" xfId="5" applyFont="1" applyFill="1" applyBorder="1" applyAlignment="1">
      <alignment vertical="center" wrapText="1"/>
    </xf>
    <xf numFmtId="176" fontId="63" fillId="0" borderId="11" xfId="0" applyNumberFormat="1" applyFont="1" applyFill="1" applyBorder="1" applyAlignment="1">
      <alignment vertical="center"/>
    </xf>
    <xf numFmtId="0" fontId="57" fillId="0" borderId="0" xfId="0" applyFont="1" applyFill="1"/>
    <xf numFmtId="0" fontId="57" fillId="0" borderId="0" xfId="0" applyFont="1" applyFill="1" applyAlignment="1">
      <alignment vertical="center"/>
    </xf>
    <xf numFmtId="0" fontId="55" fillId="0" borderId="0" xfId="0" applyFont="1" applyAlignment="1">
      <alignment vertical="center" wrapText="1"/>
    </xf>
    <xf numFmtId="168" fontId="46" fillId="0" borderId="28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3" fontId="46" fillId="0" borderId="0" xfId="0" applyNumberFormat="1" applyFont="1" applyBorder="1" applyAlignment="1">
      <alignment horizontal="right" vertical="center"/>
    </xf>
    <xf numFmtId="171" fontId="46" fillId="6" borderId="0" xfId="0" applyNumberFormat="1" applyFont="1" applyFill="1" applyAlignment="1">
      <alignment horizontal="right" vertical="center"/>
    </xf>
    <xf numFmtId="170" fontId="16" fillId="0" borderId="0" xfId="12" applyNumberFormat="1" applyFont="1" applyFill="1" applyAlignment="1">
      <alignment vertical="center"/>
    </xf>
    <xf numFmtId="0" fontId="16" fillId="0" borderId="0" xfId="5" applyFont="1" applyBorder="1" applyAlignment="1">
      <alignment horizontal="left" vertical="center"/>
    </xf>
    <xf numFmtId="0" fontId="72" fillId="0" borderId="17" xfId="5" applyFont="1" applyFill="1" applyBorder="1" applyAlignment="1">
      <alignment vertical="center"/>
    </xf>
    <xf numFmtId="0" fontId="16" fillId="0" borderId="0" xfId="5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64" fillId="0" borderId="73" xfId="0" applyFont="1" applyFill="1" applyBorder="1" applyAlignment="1">
      <alignment vertical="center" wrapText="1"/>
    </xf>
    <xf numFmtId="0" fontId="62" fillId="0" borderId="0" xfId="0" applyFont="1" applyAlignment="1">
      <alignment vertical="center"/>
    </xf>
    <xf numFmtId="176" fontId="63" fillId="0" borderId="53" xfId="0" applyNumberFormat="1" applyFont="1" applyFill="1" applyBorder="1" applyAlignment="1">
      <alignment vertical="center"/>
    </xf>
    <xf numFmtId="176" fontId="63" fillId="0" borderId="1" xfId="0" applyNumberFormat="1" applyFont="1" applyFill="1" applyBorder="1" applyAlignment="1">
      <alignment vertical="center"/>
    </xf>
    <xf numFmtId="172" fontId="63" fillId="0" borderId="1" xfId="0" applyNumberFormat="1" applyFont="1" applyFill="1" applyBorder="1" applyAlignment="1">
      <alignment vertical="center"/>
    </xf>
    <xf numFmtId="168" fontId="55" fillId="0" borderId="87" xfId="0" applyNumberFormat="1" applyFont="1" applyFill="1" applyBorder="1" applyAlignment="1">
      <alignment vertical="center"/>
    </xf>
    <xf numFmtId="176" fontId="63" fillId="0" borderId="75" xfId="0" applyNumberFormat="1" applyFont="1" applyFill="1" applyBorder="1" applyAlignment="1">
      <alignment vertical="center"/>
    </xf>
    <xf numFmtId="172" fontId="63" fillId="0" borderId="75" xfId="0" applyNumberFormat="1" applyFont="1" applyFill="1" applyBorder="1" applyAlignment="1">
      <alignment vertical="center"/>
    </xf>
    <xf numFmtId="168" fontId="55" fillId="0" borderId="94" xfId="0" applyNumberFormat="1" applyFont="1" applyFill="1" applyBorder="1" applyAlignment="1">
      <alignment vertical="center"/>
    </xf>
    <xf numFmtId="172" fontId="63" fillId="0" borderId="11" xfId="0" applyNumberFormat="1" applyFont="1" applyFill="1" applyBorder="1" applyAlignment="1">
      <alignment vertical="center"/>
    </xf>
    <xf numFmtId="168" fontId="55" fillId="0" borderId="85" xfId="0" applyNumberFormat="1" applyFont="1" applyFill="1" applyBorder="1" applyAlignment="1">
      <alignment vertical="center"/>
    </xf>
    <xf numFmtId="167" fontId="13" fillId="0" borderId="0" xfId="5" applyNumberFormat="1" applyFont="1" applyFill="1" applyAlignment="1" applyProtection="1">
      <alignment horizontal="center" vertical="center"/>
    </xf>
    <xf numFmtId="3" fontId="72" fillId="0" borderId="1" xfId="5" applyNumberFormat="1" applyFont="1" applyBorder="1" applyAlignment="1">
      <alignment horizontal="right" vertical="center"/>
    </xf>
    <xf numFmtId="10" fontId="31" fillId="0" borderId="0" xfId="12" applyNumberFormat="1" applyFont="1" applyFill="1" applyAlignment="1">
      <alignment horizontal="center" vertical="center"/>
    </xf>
    <xf numFmtId="3" fontId="16" fillId="0" borderId="0" xfId="5" applyNumberFormat="1" applyFont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49" fontId="16" fillId="0" borderId="0" xfId="0" applyNumberFormat="1" applyFont="1" applyAlignment="1" applyProtection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53" fillId="0" borderId="0" xfId="0" applyFont="1" applyFill="1" applyBorder="1" applyAlignment="1" applyProtection="1">
      <alignment vertical="center"/>
    </xf>
    <xf numFmtId="0" fontId="53" fillId="0" borderId="0" xfId="0" applyFont="1" applyBorder="1" applyAlignment="1" applyProtection="1">
      <alignment vertical="center"/>
    </xf>
    <xf numFmtId="0" fontId="53" fillId="0" borderId="0" xfId="0" applyFont="1" applyFill="1" applyAlignment="1" applyProtection="1">
      <alignment vertical="center"/>
    </xf>
    <xf numFmtId="0" fontId="87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172" fontId="63" fillId="0" borderId="53" xfId="0" applyNumberFormat="1" applyFont="1" applyFill="1" applyBorder="1" applyAlignment="1">
      <alignment vertical="center"/>
    </xf>
    <xf numFmtId="173" fontId="63" fillId="0" borderId="73" xfId="0" applyNumberFormat="1" applyFont="1" applyFill="1" applyBorder="1" applyAlignment="1">
      <alignment vertical="center"/>
    </xf>
    <xf numFmtId="0" fontId="63" fillId="0" borderId="53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/>
    </xf>
    <xf numFmtId="0" fontId="63" fillId="0" borderId="53" xfId="0" applyFont="1" applyFill="1" applyBorder="1" applyAlignment="1">
      <alignment horizontal="center" vertical="center"/>
    </xf>
    <xf numFmtId="0" fontId="63" fillId="0" borderId="75" xfId="0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right" vertical="center"/>
    </xf>
    <xf numFmtId="3" fontId="16" fillId="0" borderId="0" xfId="5" applyNumberFormat="1" applyFont="1" applyFill="1" applyAlignment="1">
      <alignment vertical="center"/>
    </xf>
    <xf numFmtId="9" fontId="17" fillId="0" borderId="0" xfId="12" applyFont="1" applyAlignment="1">
      <alignment vertical="center"/>
    </xf>
    <xf numFmtId="0" fontId="16" fillId="0" borderId="1" xfId="5" applyFont="1" applyBorder="1" applyAlignment="1">
      <alignment horizontal="left" vertical="center"/>
    </xf>
    <xf numFmtId="0" fontId="16" fillId="0" borderId="53" xfId="5" applyFont="1" applyBorder="1" applyAlignment="1">
      <alignment horizontal="left" vertical="center"/>
    </xf>
    <xf numFmtId="0" fontId="16" fillId="0" borderId="53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7" fillId="0" borderId="1" xfId="5" applyFont="1" applyBorder="1" applyAlignment="1">
      <alignment horizontal="left" vertical="center"/>
    </xf>
    <xf numFmtId="0" fontId="17" fillId="0" borderId="53" xfId="5" applyFont="1" applyBorder="1" applyAlignment="1">
      <alignment horizontal="left" vertical="center"/>
    </xf>
    <xf numFmtId="0" fontId="15" fillId="0" borderId="1" xfId="5" applyFont="1" applyFill="1" applyBorder="1" applyAlignment="1" applyProtection="1">
      <alignment horizontal="left" vertical="center"/>
    </xf>
    <xf numFmtId="0" fontId="72" fillId="0" borderId="0" xfId="5" applyFont="1" applyFill="1" applyBorder="1" applyAlignment="1">
      <alignment horizontal="right" vertical="center"/>
    </xf>
    <xf numFmtId="0" fontId="44" fillId="0" borderId="0" xfId="5" applyFont="1" applyFill="1" applyBorder="1" applyAlignment="1">
      <alignment horizontal="right" vertical="center"/>
    </xf>
    <xf numFmtId="3" fontId="44" fillId="0" borderId="0" xfId="5" quotePrefix="1" applyNumberFormat="1" applyFont="1" applyFill="1" applyBorder="1" applyAlignment="1">
      <alignment horizontal="right" vertical="center"/>
    </xf>
    <xf numFmtId="3" fontId="44" fillId="0" borderId="0" xfId="5" applyNumberFormat="1" applyFont="1" applyFill="1" applyBorder="1" applyAlignment="1">
      <alignment horizontal="right" vertical="center"/>
    </xf>
    <xf numFmtId="49" fontId="17" fillId="0" borderId="53" xfId="5" applyNumberFormat="1" applyFont="1" applyFill="1" applyBorder="1" applyAlignment="1" applyProtection="1">
      <alignment horizontal="center" vertical="center"/>
    </xf>
    <xf numFmtId="0" fontId="17" fillId="0" borderId="53" xfId="5" applyFont="1" applyFill="1" applyBorder="1" applyAlignment="1" applyProtection="1">
      <alignment vertical="center"/>
    </xf>
    <xf numFmtId="49" fontId="15" fillId="0" borderId="75" xfId="5" applyNumberFormat="1" applyFont="1" applyFill="1" applyBorder="1" applyAlignment="1" applyProtection="1">
      <alignment horizontal="center" vertical="center"/>
    </xf>
    <xf numFmtId="49" fontId="15" fillId="0" borderId="53" xfId="5" applyNumberFormat="1" applyFont="1" applyFill="1" applyBorder="1" applyAlignment="1" applyProtection="1">
      <alignment horizontal="center" vertical="center"/>
    </xf>
    <xf numFmtId="0" fontId="15" fillId="0" borderId="53" xfId="5" applyFont="1" applyFill="1" applyBorder="1" applyAlignment="1" applyProtection="1">
      <alignment horizontal="left" vertical="center"/>
    </xf>
    <xf numFmtId="0" fontId="15" fillId="0" borderId="75" xfId="5" applyFont="1" applyFill="1" applyBorder="1" applyAlignment="1" applyProtection="1">
      <alignment horizontal="right" vertical="center"/>
    </xf>
    <xf numFmtId="3" fontId="15" fillId="0" borderId="53" xfId="5" applyNumberFormat="1" applyFont="1" applyFill="1" applyBorder="1" applyAlignment="1" applyProtection="1">
      <alignment horizontal="left" vertical="center" wrapText="1"/>
    </xf>
    <xf numFmtId="3" fontId="17" fillId="0" borderId="53" xfId="5" applyNumberFormat="1" applyFont="1" applyFill="1" applyBorder="1" applyAlignment="1" applyProtection="1">
      <alignment vertical="center" wrapText="1"/>
    </xf>
    <xf numFmtId="0" fontId="16" fillId="0" borderId="53" xfId="5" applyFont="1" applyFill="1" applyBorder="1" applyAlignment="1" applyProtection="1">
      <alignment vertical="center"/>
    </xf>
    <xf numFmtId="49" fontId="13" fillId="0" borderId="53" xfId="5" applyNumberFormat="1" applyFont="1" applyFill="1" applyBorder="1" applyAlignment="1" applyProtection="1">
      <alignment horizontal="center" vertical="center"/>
    </xf>
    <xf numFmtId="49" fontId="16" fillId="0" borderId="1" xfId="5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 applyProtection="1">
      <alignment vertical="center" wrapText="1"/>
    </xf>
    <xf numFmtId="3" fontId="16" fillId="0" borderId="1" xfId="7" applyNumberFormat="1" applyFont="1" applyFill="1" applyBorder="1" applyAlignment="1" applyProtection="1">
      <alignment horizontal="center" vertical="center"/>
    </xf>
    <xf numFmtId="3" fontId="17" fillId="0" borderId="1" xfId="7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49" fontId="13" fillId="0" borderId="3" xfId="0" applyNumberFormat="1" applyFont="1" applyBorder="1" applyAlignment="1" applyProtection="1">
      <alignment horizontal="left" vertical="center"/>
    </xf>
    <xf numFmtId="49" fontId="13" fillId="0" borderId="0" xfId="0" applyNumberFormat="1" applyFont="1" applyBorder="1" applyAlignment="1" applyProtection="1">
      <alignment vertical="center"/>
    </xf>
    <xf numFmtId="49" fontId="23" fillId="0" borderId="3" xfId="0" applyNumberFormat="1" applyFont="1" applyFill="1" applyBorder="1" applyAlignment="1" applyProtection="1">
      <alignment horizontal="left" vertical="center"/>
    </xf>
    <xf numFmtId="3" fontId="13" fillId="0" borderId="3" xfId="0" applyNumberFormat="1" applyFont="1" applyBorder="1" applyAlignment="1" applyProtection="1">
      <alignment horizontal="center" vertical="center" wrapText="1"/>
    </xf>
    <xf numFmtId="3" fontId="13" fillId="0" borderId="1" xfId="0" applyNumberFormat="1" applyFont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/>
    </xf>
    <xf numFmtId="49" fontId="15" fillId="0" borderId="3" xfId="0" applyNumberFormat="1" applyFont="1" applyFill="1" applyBorder="1" applyAlignment="1" applyProtection="1">
      <alignment horizontal="left" vertical="center"/>
    </xf>
    <xf numFmtId="3" fontId="15" fillId="0" borderId="1" xfId="0" applyNumberFormat="1" applyFont="1" applyFill="1" applyBorder="1" applyAlignment="1" applyProtection="1">
      <alignment vertical="center"/>
    </xf>
    <xf numFmtId="3" fontId="15" fillId="21" borderId="1" xfId="0" applyNumberFormat="1" applyFont="1" applyFill="1" applyBorder="1" applyAlignment="1" applyProtection="1">
      <alignment vertical="center"/>
    </xf>
    <xf numFmtId="3" fontId="15" fillId="21" borderId="4" xfId="0" applyNumberFormat="1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3" fontId="15" fillId="0" borderId="1" xfId="0" applyNumberFormat="1" applyFont="1" applyBorder="1" applyAlignment="1" applyProtection="1">
      <alignment vertical="center"/>
    </xf>
    <xf numFmtId="3" fontId="15" fillId="0" borderId="4" xfId="0" applyNumberFormat="1" applyFont="1" applyFill="1" applyBorder="1" applyAlignment="1" applyProtection="1">
      <alignment vertical="center"/>
    </xf>
    <xf numFmtId="3" fontId="13" fillId="0" borderId="3" xfId="0" applyNumberFormat="1" applyFont="1" applyBorder="1" applyAlignment="1" applyProtection="1">
      <alignment vertical="center"/>
    </xf>
    <xf numFmtId="0" fontId="15" fillId="2" borderId="3" xfId="0" applyFont="1" applyFill="1" applyBorder="1" applyAlignment="1" applyProtection="1">
      <alignment horizontal="left" vertical="center"/>
    </xf>
    <xf numFmtId="3" fontId="13" fillId="2" borderId="3" xfId="0" applyNumberFormat="1" applyFont="1" applyFill="1" applyBorder="1" applyAlignment="1" applyProtection="1">
      <alignment vertical="center"/>
    </xf>
    <xf numFmtId="3" fontId="13" fillId="2" borderId="1" xfId="0" applyNumberFormat="1" applyFont="1" applyFill="1" applyBorder="1" applyAlignment="1" applyProtection="1">
      <alignment vertical="center"/>
    </xf>
    <xf numFmtId="3" fontId="13" fillId="16" borderId="1" xfId="0" applyNumberFormat="1" applyFont="1" applyFill="1" applyBorder="1" applyAlignment="1" applyProtection="1">
      <alignment vertical="center"/>
    </xf>
    <xf numFmtId="3" fontId="13" fillId="16" borderId="4" xfId="0" applyNumberFormat="1" applyFont="1" applyFill="1" applyBorder="1" applyAlignment="1" applyProtection="1">
      <alignment vertic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3" fontId="17" fillId="0" borderId="1" xfId="0" applyNumberFormat="1" applyFont="1" applyFill="1" applyBorder="1" applyAlignment="1" applyProtection="1">
      <alignment vertical="center"/>
    </xf>
    <xf numFmtId="3" fontId="17" fillId="0" borderId="4" xfId="0" applyNumberFormat="1" applyFont="1" applyFill="1" applyBorder="1" applyAlignment="1" applyProtection="1">
      <alignment vertical="center"/>
    </xf>
    <xf numFmtId="49" fontId="16" fillId="0" borderId="3" xfId="0" applyNumberFormat="1" applyFont="1" applyFill="1" applyBorder="1" applyAlignment="1" applyProtection="1">
      <alignment horizontal="left" vertical="center"/>
    </xf>
    <xf numFmtId="3" fontId="16" fillId="0" borderId="1" xfId="0" applyNumberFormat="1" applyFont="1" applyFill="1" applyBorder="1" applyAlignment="1" applyProtection="1">
      <alignment vertical="center"/>
    </xf>
    <xf numFmtId="3" fontId="16" fillId="0" borderId="3" xfId="0" applyNumberFormat="1" applyFont="1" applyFill="1" applyBorder="1" applyAlignment="1" applyProtection="1">
      <alignment vertical="center"/>
    </xf>
    <xf numFmtId="0" fontId="13" fillId="0" borderId="3" xfId="0" applyFont="1" applyBorder="1" applyAlignment="1" applyProtection="1">
      <alignment horizontal="left" vertical="center"/>
    </xf>
    <xf numFmtId="3" fontId="13" fillId="0" borderId="1" xfId="0" applyNumberFormat="1" applyFont="1" applyBorder="1" applyAlignment="1" applyProtection="1">
      <alignment vertical="center"/>
    </xf>
    <xf numFmtId="3" fontId="13" fillId="0" borderId="4" xfId="0" applyNumberFormat="1" applyFont="1" applyFill="1" applyBorder="1" applyAlignment="1" applyProtection="1">
      <alignment vertical="center"/>
    </xf>
    <xf numFmtId="3" fontId="13" fillId="0" borderId="1" xfId="0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vertical="center"/>
    </xf>
    <xf numFmtId="49" fontId="15" fillId="0" borderId="3" xfId="0" applyNumberFormat="1" applyFont="1" applyBorder="1" applyAlignment="1" applyProtection="1">
      <alignment horizontal="left" vertical="center"/>
    </xf>
    <xf numFmtId="49" fontId="15" fillId="4" borderId="3" xfId="0" applyNumberFormat="1" applyFont="1" applyFill="1" applyBorder="1" applyAlignment="1" applyProtection="1">
      <alignment horizontal="left" vertical="center"/>
    </xf>
    <xf numFmtId="3" fontId="13" fillId="4" borderId="1" xfId="0" applyNumberFormat="1" applyFont="1" applyFill="1" applyBorder="1" applyAlignment="1" applyProtection="1">
      <alignment vertical="center"/>
    </xf>
    <xf numFmtId="49" fontId="15" fillId="12" borderId="3" xfId="0" applyNumberFormat="1" applyFont="1" applyFill="1" applyBorder="1" applyAlignment="1" applyProtection="1">
      <alignment horizontal="left" vertical="center"/>
    </xf>
    <xf numFmtId="4" fontId="16" fillId="0" borderId="1" xfId="0" applyNumberFormat="1" applyFont="1" applyFill="1" applyBorder="1" applyAlignment="1" applyProtection="1">
      <alignment vertical="center"/>
    </xf>
    <xf numFmtId="3" fontId="15" fillId="18" borderId="1" xfId="0" applyNumberFormat="1" applyFont="1" applyFill="1" applyBorder="1" applyAlignment="1" applyProtection="1">
      <alignment vertical="center"/>
    </xf>
    <xf numFmtId="3" fontId="15" fillId="18" borderId="4" xfId="0" applyNumberFormat="1" applyFont="1" applyFill="1" applyBorder="1" applyAlignment="1" applyProtection="1">
      <alignment vertical="center"/>
    </xf>
    <xf numFmtId="3" fontId="13" fillId="4" borderId="4" xfId="0" applyNumberFormat="1" applyFont="1" applyFill="1" applyBorder="1" applyAlignment="1" applyProtection="1">
      <alignment vertical="center"/>
    </xf>
    <xf numFmtId="4" fontId="15" fillId="0" borderId="1" xfId="0" applyNumberFormat="1" applyFont="1" applyBorder="1" applyAlignment="1" applyProtection="1">
      <alignment vertical="center"/>
    </xf>
    <xf numFmtId="4" fontId="15" fillId="0" borderId="4" xfId="0" applyNumberFormat="1" applyFont="1" applyFill="1" applyBorder="1" applyAlignment="1" applyProtection="1">
      <alignment vertical="center"/>
    </xf>
    <xf numFmtId="49" fontId="13" fillId="3" borderId="3" xfId="0" applyNumberFormat="1" applyFont="1" applyFill="1" applyBorder="1" applyAlignment="1" applyProtection="1">
      <alignment horizontal="left" vertical="center"/>
    </xf>
    <xf numFmtId="3" fontId="13" fillId="3" borderId="1" xfId="0" applyNumberFormat="1" applyFont="1" applyFill="1" applyBorder="1" applyAlignment="1" applyProtection="1">
      <alignment vertical="center"/>
    </xf>
    <xf numFmtId="49" fontId="13" fillId="2" borderId="3" xfId="0" applyNumberFormat="1" applyFont="1" applyFill="1" applyBorder="1" applyAlignment="1" applyProtection="1">
      <alignment horizontal="left" vertical="center"/>
    </xf>
    <xf numFmtId="49" fontId="13" fillId="2" borderId="5" xfId="0" applyNumberFormat="1" applyFont="1" applyFill="1" applyBorder="1" applyAlignment="1" applyProtection="1">
      <alignment horizontal="left" vertical="center"/>
    </xf>
    <xf numFmtId="3" fontId="13" fillId="2" borderId="6" xfId="0" applyNumberFormat="1" applyFont="1" applyFill="1" applyBorder="1" applyAlignment="1" applyProtection="1">
      <alignment vertical="center"/>
    </xf>
    <xf numFmtId="3" fontId="13" fillId="2" borderId="26" xfId="0" applyNumberFormat="1" applyFont="1" applyFill="1" applyBorder="1" applyAlignment="1" applyProtection="1">
      <alignment vertical="center"/>
    </xf>
    <xf numFmtId="49" fontId="15" fillId="0" borderId="0" xfId="0" applyNumberFormat="1" applyFont="1" applyAlignment="1" applyProtection="1">
      <alignment horizontal="left" vertical="center"/>
    </xf>
    <xf numFmtId="3" fontId="28" fillId="0" borderId="0" xfId="0" applyNumberFormat="1" applyFont="1" applyProtection="1"/>
    <xf numFmtId="3" fontId="15" fillId="0" borderId="0" xfId="0" applyNumberFormat="1" applyFont="1" applyFill="1" applyAlignment="1" applyProtection="1">
      <alignment vertical="center"/>
    </xf>
    <xf numFmtId="3" fontId="15" fillId="0" borderId="0" xfId="0" applyNumberFormat="1" applyFont="1" applyAlignment="1" applyProtection="1">
      <alignment vertical="center"/>
    </xf>
    <xf numFmtId="169" fontId="15" fillId="0" borderId="0" xfId="0" applyNumberFormat="1" applyFont="1" applyAlignment="1" applyProtection="1">
      <alignment vertical="center"/>
    </xf>
    <xf numFmtId="169" fontId="15" fillId="0" borderId="0" xfId="0" applyNumberFormat="1" applyFont="1" applyFill="1" applyAlignment="1" applyProtection="1">
      <alignment vertical="center"/>
    </xf>
    <xf numFmtId="3" fontId="16" fillId="0" borderId="1" xfId="5" applyNumberFormat="1" applyFont="1" applyFill="1" applyBorder="1" applyAlignment="1" applyProtection="1">
      <alignment horizontal="center" vertical="center"/>
    </xf>
    <xf numFmtId="3" fontId="16" fillId="21" borderId="1" xfId="5" applyNumberFormat="1" applyFont="1" applyFill="1" applyBorder="1" applyAlignment="1" applyProtection="1">
      <alignment horizontal="right" vertical="center"/>
    </xf>
    <xf numFmtId="3" fontId="16" fillId="0" borderId="1" xfId="5" applyNumberFormat="1" applyFont="1" applyFill="1" applyBorder="1" applyAlignment="1" applyProtection="1">
      <alignment horizontal="right" vertical="center"/>
    </xf>
    <xf numFmtId="3" fontId="16" fillId="0" borderId="53" xfId="5" applyNumberFormat="1" applyFont="1" applyFill="1" applyBorder="1" applyAlignment="1" applyProtection="1">
      <alignment horizontal="center" vertical="center"/>
    </xf>
    <xf numFmtId="3" fontId="17" fillId="0" borderId="53" xfId="5" applyNumberFormat="1" applyFont="1" applyFill="1" applyBorder="1" applyAlignment="1" applyProtection="1">
      <alignment horizontal="center" vertical="center"/>
    </xf>
    <xf numFmtId="167" fontId="17" fillId="21" borderId="53" xfId="5" applyNumberFormat="1" applyFont="1" applyFill="1" applyBorder="1" applyAlignment="1" applyProtection="1">
      <alignment horizontal="right" vertical="center"/>
    </xf>
    <xf numFmtId="3" fontId="16" fillId="0" borderId="75" xfId="5" applyNumberFormat="1" applyFont="1" applyFill="1" applyBorder="1" applyAlignment="1" applyProtection="1">
      <alignment horizontal="center" vertical="center"/>
    </xf>
    <xf numFmtId="167" fontId="16" fillId="21" borderId="75" xfId="5" applyNumberFormat="1" applyFont="1" applyFill="1" applyBorder="1" applyAlignment="1" applyProtection="1">
      <alignment horizontal="right" vertical="center"/>
    </xf>
    <xf numFmtId="3" fontId="16" fillId="21" borderId="53" xfId="5" applyNumberFormat="1" applyFont="1" applyFill="1" applyBorder="1" applyAlignment="1" applyProtection="1">
      <alignment horizontal="right" vertical="center"/>
    </xf>
    <xf numFmtId="3" fontId="17" fillId="0" borderId="53" xfId="5" applyNumberFormat="1" applyFont="1" applyFill="1" applyBorder="1" applyAlignment="1" applyProtection="1">
      <alignment horizontal="right" vertical="center"/>
    </xf>
    <xf numFmtId="169" fontId="16" fillId="0" borderId="1" xfId="5" applyNumberFormat="1" applyFont="1" applyBorder="1" applyAlignment="1" applyProtection="1">
      <alignment horizontal="right" vertical="center"/>
    </xf>
    <xf numFmtId="3" fontId="36" fillId="7" borderId="9" xfId="4" applyNumberFormat="1" applyFont="1" applyFill="1" applyBorder="1" applyAlignment="1">
      <alignment horizontal="right" vertical="center"/>
    </xf>
    <xf numFmtId="3" fontId="36" fillId="0" borderId="3" xfId="4" applyNumberFormat="1" applyFont="1" applyFill="1" applyBorder="1" applyAlignment="1">
      <alignment horizontal="right" vertical="center"/>
    </xf>
    <xf numFmtId="3" fontId="36" fillId="9" borderId="3" xfId="4" applyNumberFormat="1" applyFont="1" applyFill="1" applyBorder="1" applyAlignment="1">
      <alignment horizontal="right" vertical="center"/>
    </xf>
    <xf numFmtId="3" fontId="36" fillId="0" borderId="5" xfId="4" applyNumberFormat="1" applyFont="1" applyFill="1" applyBorder="1" applyAlignment="1">
      <alignment horizontal="right" vertical="center"/>
    </xf>
    <xf numFmtId="3" fontId="17" fillId="10" borderId="52" xfId="4" applyNumberFormat="1" applyFont="1" applyFill="1" applyBorder="1" applyAlignment="1">
      <alignment horizontal="right" vertical="center"/>
    </xf>
    <xf numFmtId="3" fontId="17" fillId="14" borderId="3" xfId="4" applyNumberFormat="1" applyFont="1" applyFill="1" applyBorder="1" applyAlignment="1">
      <alignment horizontal="right" vertical="center"/>
    </xf>
    <xf numFmtId="3" fontId="17" fillId="14" borderId="5" xfId="4" applyNumberFormat="1" applyFont="1" applyFill="1" applyBorder="1" applyAlignment="1">
      <alignment horizontal="right" vertical="center"/>
    </xf>
    <xf numFmtId="3" fontId="36" fillId="7" borderId="52" xfId="4" applyNumberFormat="1" applyFont="1" applyFill="1" applyBorder="1" applyAlignment="1">
      <alignment horizontal="right" vertical="center"/>
    </xf>
    <xf numFmtId="3" fontId="36" fillId="6" borderId="3" xfId="4" applyNumberFormat="1" applyFont="1" applyFill="1" applyBorder="1" applyAlignment="1">
      <alignment horizontal="right" vertical="center"/>
    </xf>
    <xf numFmtId="3" fontId="36" fillId="8" borderId="3" xfId="4" applyNumberFormat="1" applyFont="1" applyFill="1" applyBorder="1" applyAlignment="1">
      <alignment horizontal="right" vertical="center"/>
    </xf>
    <xf numFmtId="3" fontId="36" fillId="7" borderId="3" xfId="4" applyNumberFormat="1" applyFont="1" applyFill="1" applyBorder="1" applyAlignment="1">
      <alignment horizontal="right" vertical="center"/>
    </xf>
    <xf numFmtId="3" fontId="36" fillId="8" borderId="19" xfId="4" applyNumberFormat="1" applyFont="1" applyFill="1" applyBorder="1" applyAlignment="1">
      <alignment horizontal="right" vertical="center"/>
    </xf>
    <xf numFmtId="4" fontId="16" fillId="22" borderId="1" xfId="4" applyNumberFormat="1" applyFont="1" applyFill="1" applyBorder="1" applyAlignment="1">
      <alignment horizontal="right" vertical="center"/>
    </xf>
    <xf numFmtId="0" fontId="64" fillId="0" borderId="0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right" vertical="center"/>
    </xf>
    <xf numFmtId="0" fontId="53" fillId="0" borderId="1" xfId="0" applyFont="1" applyBorder="1" applyAlignment="1" applyProtection="1">
      <alignment horizontal="left" vertical="justify" wrapText="1"/>
      <protection locked="0"/>
    </xf>
    <xf numFmtId="0" fontId="64" fillId="0" borderId="0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right" vertical="center"/>
    </xf>
    <xf numFmtId="4" fontId="64" fillId="0" borderId="31" xfId="0" applyNumberFormat="1" applyFont="1" applyFill="1" applyBorder="1" applyAlignment="1">
      <alignment horizontal="right" vertical="center" wrapText="1"/>
    </xf>
    <xf numFmtId="4" fontId="64" fillId="0" borderId="1" xfId="0" applyNumberFormat="1" applyFont="1" applyFill="1" applyBorder="1" applyAlignment="1">
      <alignment horizontal="right" vertical="center" wrapText="1"/>
    </xf>
    <xf numFmtId="168" fontId="64" fillId="0" borderId="75" xfId="0" quotePrefix="1" applyNumberFormat="1" applyFont="1" applyFill="1" applyBorder="1" applyAlignment="1">
      <alignment horizontal="right" vertical="center" wrapText="1"/>
    </xf>
    <xf numFmtId="4" fontId="64" fillId="0" borderId="0" xfId="0" quotePrefix="1" applyNumberFormat="1" applyFont="1" applyFill="1" applyBorder="1" applyAlignment="1">
      <alignment horizontal="right" vertical="center" wrapText="1"/>
    </xf>
    <xf numFmtId="168" fontId="64" fillId="0" borderId="0" xfId="0" applyNumberFormat="1" applyFont="1" applyFill="1" applyBorder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4" fontId="64" fillId="23" borderId="33" xfId="0" applyNumberFormat="1" applyFont="1" applyFill="1" applyBorder="1" applyAlignment="1">
      <alignment horizontal="right" vertical="center" wrapText="1"/>
    </xf>
    <xf numFmtId="168" fontId="64" fillId="23" borderId="33" xfId="0" applyNumberFormat="1" applyFont="1" applyFill="1" applyBorder="1" applyAlignment="1">
      <alignment horizontal="right" vertical="center" wrapText="1"/>
    </xf>
    <xf numFmtId="0" fontId="64" fillId="23" borderId="0" xfId="0" applyFont="1" applyFill="1" applyBorder="1" applyAlignment="1">
      <alignment horizontal="right" vertical="center" wrapText="1"/>
    </xf>
    <xf numFmtId="4" fontId="64" fillId="23" borderId="0" xfId="0" quotePrefix="1" applyNumberFormat="1" applyFont="1" applyFill="1" applyBorder="1" applyAlignment="1">
      <alignment horizontal="right" vertical="center" wrapText="1"/>
    </xf>
    <xf numFmtId="3" fontId="15" fillId="21" borderId="1" xfId="0" applyNumberFormat="1" applyFont="1" applyFill="1" applyBorder="1" applyAlignment="1">
      <alignment vertical="center"/>
    </xf>
    <xf numFmtId="3" fontId="15" fillId="21" borderId="4" xfId="0" applyNumberFormat="1" applyFont="1" applyFill="1" applyBorder="1" applyAlignment="1">
      <alignment vertical="center"/>
    </xf>
    <xf numFmtId="4" fontId="65" fillId="0" borderId="0" xfId="0" applyNumberFormat="1" applyFont="1" applyFill="1" applyAlignment="1">
      <alignment vertical="center"/>
    </xf>
    <xf numFmtId="0" fontId="65" fillId="0" borderId="0" xfId="0" applyFont="1" applyFill="1" applyAlignment="1">
      <alignment vertical="center"/>
    </xf>
    <xf numFmtId="172" fontId="65" fillId="0" borderId="0" xfId="0" applyNumberFormat="1" applyFont="1" applyFill="1" applyAlignment="1">
      <alignment vertical="center"/>
    </xf>
    <xf numFmtId="164" fontId="65" fillId="0" borderId="0" xfId="0" applyNumberFormat="1" applyFont="1" applyFill="1" applyAlignment="1">
      <alignment vertical="center"/>
    </xf>
    <xf numFmtId="0" fontId="63" fillId="0" borderId="0" xfId="0" applyNumberFormat="1" applyFont="1" applyAlignment="1">
      <alignment vertical="center"/>
    </xf>
    <xf numFmtId="0" fontId="63" fillId="0" borderId="6" xfId="0" applyFont="1" applyFill="1" applyBorder="1" applyAlignment="1">
      <alignment horizontal="center" vertical="center"/>
    </xf>
    <xf numFmtId="0" fontId="63" fillId="0" borderId="6" xfId="0" applyFont="1" applyFill="1" applyBorder="1" applyAlignment="1">
      <alignment vertical="center" wrapText="1"/>
    </xf>
    <xf numFmtId="0" fontId="63" fillId="0" borderId="6" xfId="0" applyFont="1" applyFill="1" applyBorder="1" applyAlignment="1">
      <alignment horizontal="center" vertical="center" wrapText="1"/>
    </xf>
    <xf numFmtId="176" fontId="63" fillId="0" borderId="6" xfId="0" applyNumberFormat="1" applyFont="1" applyFill="1" applyBorder="1" applyAlignment="1">
      <alignment vertical="center"/>
    </xf>
    <xf numFmtId="172" fontId="63" fillId="0" borderId="6" xfId="0" applyNumberFormat="1" applyFont="1" applyFill="1" applyBorder="1" applyAlignment="1">
      <alignment vertical="center"/>
    </xf>
    <xf numFmtId="0" fontId="63" fillId="0" borderId="0" xfId="0" applyFont="1" applyBorder="1" applyAlignment="1">
      <alignment vertical="center"/>
    </xf>
    <xf numFmtId="169" fontId="55" fillId="7" borderId="23" xfId="0" applyNumberFormat="1" applyFont="1" applyFill="1" applyBorder="1" applyAlignment="1">
      <alignment vertical="center"/>
    </xf>
    <xf numFmtId="169" fontId="55" fillId="19" borderId="59" xfId="0" applyNumberFormat="1" applyFont="1" applyFill="1" applyBorder="1" applyAlignment="1">
      <alignment vertical="center"/>
    </xf>
    <xf numFmtId="169" fontId="55" fillId="19" borderId="62" xfId="0" applyNumberFormat="1" applyFont="1" applyFill="1" applyBorder="1" applyAlignment="1">
      <alignment vertical="center"/>
    </xf>
    <xf numFmtId="0" fontId="70" fillId="0" borderId="0" xfId="0" applyFont="1" applyFill="1"/>
    <xf numFmtId="0" fontId="63" fillId="0" borderId="0" xfId="0" applyFont="1" applyFill="1" applyBorder="1" applyAlignment="1">
      <alignment vertical="center"/>
    </xf>
    <xf numFmtId="3" fontId="81" fillId="0" borderId="0" xfId="0" applyNumberFormat="1" applyFont="1" applyFill="1" applyBorder="1" applyAlignment="1">
      <alignment horizontal="right" vertical="center"/>
    </xf>
    <xf numFmtId="10" fontId="70" fillId="0" borderId="0" xfId="14" applyNumberFormat="1" applyFont="1" applyFill="1" applyBorder="1" applyAlignment="1">
      <alignment horizontal="left"/>
    </xf>
    <xf numFmtId="0" fontId="64" fillId="0" borderId="0" xfId="0" applyFont="1" applyFill="1" applyBorder="1" applyAlignment="1">
      <alignment vertical="center"/>
    </xf>
    <xf numFmtId="0" fontId="64" fillId="0" borderId="0" xfId="0" applyFont="1" applyBorder="1" applyAlignment="1">
      <alignment vertical="center"/>
    </xf>
    <xf numFmtId="3" fontId="81" fillId="0" borderId="28" xfId="0" applyNumberFormat="1" applyFont="1" applyFill="1" applyBorder="1" applyAlignment="1">
      <alignment horizontal="right" vertical="center"/>
    </xf>
    <xf numFmtId="0" fontId="71" fillId="0" borderId="28" xfId="0" applyFont="1" applyFill="1" applyBorder="1" applyAlignment="1">
      <alignment horizontal="left"/>
    </xf>
    <xf numFmtId="10" fontId="70" fillId="0" borderId="28" xfId="14" applyNumberFormat="1" applyFont="1" applyFill="1" applyBorder="1" applyAlignment="1">
      <alignment horizontal="left"/>
    </xf>
    <xf numFmtId="3" fontId="84" fillId="19" borderId="0" xfId="0" applyNumberFormat="1" applyFont="1" applyFill="1" applyBorder="1" applyAlignment="1">
      <alignment horizontal="right" vertical="center"/>
    </xf>
    <xf numFmtId="0" fontId="84" fillId="0" borderId="0" xfId="0" applyFont="1" applyFill="1" applyBorder="1" applyAlignment="1">
      <alignment horizontal="left"/>
    </xf>
    <xf numFmtId="0" fontId="14" fillId="0" borderId="0" xfId="1" applyBorder="1" applyAlignment="1" applyProtection="1">
      <alignment vertical="center"/>
    </xf>
    <xf numFmtId="0" fontId="64" fillId="0" borderId="95" xfId="0" applyFont="1" applyBorder="1" applyAlignment="1">
      <alignment horizontal="center" vertical="center"/>
    </xf>
    <xf numFmtId="0" fontId="64" fillId="0" borderId="96" xfId="0" applyFont="1" applyBorder="1" applyAlignment="1">
      <alignment horizontal="center" vertical="center"/>
    </xf>
    <xf numFmtId="0" fontId="63" fillId="0" borderId="0" xfId="0" quotePrefix="1" applyFont="1" applyFill="1" applyBorder="1" applyAlignment="1">
      <alignment vertical="center"/>
    </xf>
    <xf numFmtId="174" fontId="63" fillId="0" borderId="0" xfId="0" applyNumberFormat="1" applyFont="1" applyFill="1" applyBorder="1" applyAlignment="1">
      <alignment horizontal="right" vertical="center"/>
    </xf>
    <xf numFmtId="3" fontId="63" fillId="0" borderId="45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Alignment="1">
      <alignment horizontal="center" vertical="center"/>
    </xf>
    <xf numFmtId="3" fontId="63" fillId="0" borderId="45" xfId="0" applyNumberFormat="1" applyFont="1" applyBorder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0" fontId="55" fillId="0" borderId="0" xfId="0" applyFont="1" applyFill="1" applyBorder="1" applyAlignment="1">
      <alignment horizontal="right" vertical="center"/>
    </xf>
    <xf numFmtId="2" fontId="55" fillId="0" borderId="0" xfId="0" applyNumberFormat="1" applyFont="1" applyFill="1" applyBorder="1" applyAlignment="1">
      <alignment horizontal="right" vertical="center"/>
    </xf>
    <xf numFmtId="174" fontId="55" fillId="0" borderId="0" xfId="0" applyNumberFormat="1" applyFont="1" applyFill="1" applyBorder="1" applyAlignment="1">
      <alignment horizontal="right" vertical="center"/>
    </xf>
    <xf numFmtId="0" fontId="63" fillId="0" borderId="0" xfId="0" applyFont="1" applyFill="1" applyBorder="1" applyAlignment="1">
      <alignment horizontal="center" vertical="center"/>
    </xf>
    <xf numFmtId="179" fontId="70" fillId="0" borderId="0" xfId="0" quotePrefix="1" applyNumberFormat="1" applyFont="1" applyFill="1" applyBorder="1" applyAlignment="1">
      <alignment vertical="center"/>
    </xf>
    <xf numFmtId="0" fontId="64" fillId="0" borderId="1" xfId="0" applyFont="1" applyFill="1" applyBorder="1" applyAlignment="1">
      <alignment vertical="center" wrapText="1"/>
    </xf>
    <xf numFmtId="176" fontId="63" fillId="0" borderId="44" xfId="0" applyNumberFormat="1" applyFont="1" applyFill="1" applyBorder="1" applyAlignment="1">
      <alignment vertical="center"/>
    </xf>
    <xf numFmtId="172" fontId="63" fillId="0" borderId="44" xfId="0" applyNumberFormat="1" applyFont="1" applyFill="1" applyBorder="1" applyAlignment="1">
      <alignment vertical="center"/>
    </xf>
    <xf numFmtId="0" fontId="64" fillId="0" borderId="75" xfId="0" applyFont="1" applyFill="1" applyBorder="1" applyAlignment="1">
      <alignment horizontal="center" vertical="center" wrapText="1"/>
    </xf>
    <xf numFmtId="0" fontId="64" fillId="0" borderId="88" xfId="0" applyFont="1" applyFill="1" applyBorder="1" applyAlignment="1">
      <alignment vertical="center" wrapText="1"/>
    </xf>
    <xf numFmtId="0" fontId="64" fillId="0" borderId="75" xfId="0" applyFont="1" applyFill="1" applyBorder="1" applyAlignment="1">
      <alignment vertical="center" wrapText="1"/>
    </xf>
    <xf numFmtId="2" fontId="0" fillId="0" borderId="0" xfId="0" applyNumberFormat="1" applyAlignment="1">
      <alignment horizontal="center" vertical="center"/>
    </xf>
    <xf numFmtId="178" fontId="63" fillId="0" borderId="0" xfId="0" applyNumberFormat="1" applyFont="1" applyAlignment="1">
      <alignment vertical="center"/>
    </xf>
    <xf numFmtId="172" fontId="63" fillId="0" borderId="75" xfId="0" applyNumberFormat="1" applyFont="1" applyBorder="1" applyAlignment="1">
      <alignment horizontal="center" vertical="center"/>
    </xf>
    <xf numFmtId="167" fontId="63" fillId="0" borderId="0" xfId="0" applyNumberFormat="1" applyFont="1" applyAlignment="1">
      <alignment vertical="center"/>
    </xf>
    <xf numFmtId="172" fontId="62" fillId="0" borderId="0" xfId="0" applyNumberFormat="1" applyFont="1" applyAlignment="1">
      <alignment vertical="center"/>
    </xf>
    <xf numFmtId="172" fontId="63" fillId="0" borderId="6" xfId="0" applyNumberFormat="1" applyFont="1" applyBorder="1" applyAlignment="1">
      <alignment horizontal="center" vertical="center"/>
    </xf>
    <xf numFmtId="0" fontId="89" fillId="0" borderId="0" xfId="0" applyFont="1" applyAlignment="1">
      <alignment vertical="center"/>
    </xf>
    <xf numFmtId="0" fontId="62" fillId="0" borderId="0" xfId="0" applyFont="1" applyBorder="1" applyAlignment="1">
      <alignment vertical="center"/>
    </xf>
    <xf numFmtId="4" fontId="65" fillId="0" borderId="0" xfId="0" applyNumberFormat="1" applyFont="1" applyFill="1" applyBorder="1" applyAlignment="1">
      <alignment horizontal="center" vertical="center"/>
    </xf>
    <xf numFmtId="0" fontId="16" fillId="0" borderId="0" xfId="5" applyFont="1" applyBorder="1" applyAlignment="1">
      <alignment vertical="center"/>
    </xf>
    <xf numFmtId="0" fontId="17" fillId="0" borderId="0" xfId="5" applyFont="1" applyBorder="1" applyAlignment="1">
      <alignment horizontal="left" vertical="center"/>
    </xf>
    <xf numFmtId="168" fontId="16" fillId="21" borderId="1" xfId="5" applyNumberFormat="1" applyFont="1" applyFill="1" applyBorder="1" applyAlignment="1">
      <alignment horizontal="right" vertical="center"/>
    </xf>
    <xf numFmtId="10" fontId="16" fillId="21" borderId="1" xfId="14" applyNumberFormat="1" applyFont="1" applyFill="1" applyBorder="1" applyAlignment="1" applyProtection="1">
      <alignment horizontal="right" vertical="center"/>
    </xf>
    <xf numFmtId="0" fontId="62" fillId="0" borderId="0" xfId="0" applyFont="1" applyFill="1" applyAlignment="1">
      <alignment vertical="center"/>
    </xf>
    <xf numFmtId="0" fontId="28" fillId="0" borderId="0" xfId="0" applyFont="1" applyBorder="1" applyAlignment="1" applyProtection="1">
      <alignment vertical="center"/>
    </xf>
    <xf numFmtId="3" fontId="28" fillId="14" borderId="1" xfId="0" applyNumberFormat="1" applyFont="1" applyFill="1" applyBorder="1" applyAlignment="1" applyProtection="1">
      <alignment vertical="center"/>
    </xf>
    <xf numFmtId="3" fontId="28" fillId="14" borderId="4" xfId="0" applyNumberFormat="1" applyFont="1" applyFill="1" applyBorder="1" applyAlignment="1" applyProtection="1">
      <alignment vertical="center"/>
    </xf>
    <xf numFmtId="3" fontId="28" fillId="14" borderId="1" xfId="0" applyNumberFormat="1" applyFont="1" applyFill="1" applyBorder="1" applyAlignment="1">
      <alignment vertical="center"/>
    </xf>
    <xf numFmtId="3" fontId="28" fillId="14" borderId="4" xfId="0" applyNumberFormat="1" applyFont="1" applyFill="1" applyBorder="1" applyAlignment="1">
      <alignment vertical="center"/>
    </xf>
    <xf numFmtId="167" fontId="16" fillId="21" borderId="52" xfId="5" applyNumberFormat="1" applyFont="1" applyFill="1" applyBorder="1" applyAlignment="1">
      <alignment horizontal="right" vertical="center"/>
    </xf>
    <xf numFmtId="0" fontId="16" fillId="0" borderId="75" xfId="5" applyFont="1" applyBorder="1" applyAlignment="1">
      <alignment horizontal="left" vertical="center"/>
    </xf>
    <xf numFmtId="3" fontId="16" fillId="21" borderId="75" xfId="5" applyNumberFormat="1" applyFont="1" applyFill="1" applyBorder="1" applyAlignment="1">
      <alignment horizontal="right" vertical="center"/>
    </xf>
    <xf numFmtId="3" fontId="16" fillId="0" borderId="76" xfId="5" applyNumberFormat="1" applyFont="1" applyFill="1" applyBorder="1" applyAlignment="1">
      <alignment horizontal="right" vertical="center"/>
    </xf>
    <xf numFmtId="0" fontId="16" fillId="0" borderId="77" xfId="5" applyFont="1" applyBorder="1" applyAlignment="1">
      <alignment horizontal="left" vertical="center"/>
    </xf>
    <xf numFmtId="3" fontId="16" fillId="21" borderId="77" xfId="5" applyNumberFormat="1" applyFont="1" applyFill="1" applyBorder="1" applyAlignment="1">
      <alignment horizontal="right" vertical="center"/>
    </xf>
    <xf numFmtId="3" fontId="16" fillId="0" borderId="78" xfId="5" applyNumberFormat="1" applyFont="1" applyFill="1" applyBorder="1" applyAlignment="1">
      <alignment horizontal="right" vertical="center"/>
    </xf>
    <xf numFmtId="0" fontId="16" fillId="0" borderId="74" xfId="5" applyFont="1" applyBorder="1" applyAlignment="1">
      <alignment horizontal="left" vertical="center"/>
    </xf>
    <xf numFmtId="168" fontId="16" fillId="0" borderId="28" xfId="0" applyNumberFormat="1" applyFont="1" applyBorder="1" applyAlignment="1">
      <alignment vertical="center"/>
    </xf>
    <xf numFmtId="165" fontId="32" fillId="0" borderId="41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Alignment="1">
      <alignment vertical="center"/>
    </xf>
    <xf numFmtId="3" fontId="32" fillId="0" borderId="41" xfId="0" applyNumberFormat="1" applyFont="1" applyFill="1" applyBorder="1" applyAlignment="1">
      <alignment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Border="1" applyAlignment="1">
      <alignment vertical="center"/>
    </xf>
    <xf numFmtId="10" fontId="31" fillId="0" borderId="28" xfId="12" applyNumberFormat="1" applyFont="1" applyFill="1" applyBorder="1" applyAlignment="1">
      <alignment horizontal="center" vertical="center"/>
    </xf>
    <xf numFmtId="172" fontId="16" fillId="0" borderId="0" xfId="0" applyNumberFormat="1" applyFont="1" applyAlignment="1">
      <alignment vertical="center"/>
    </xf>
    <xf numFmtId="168" fontId="46" fillId="23" borderId="28" xfId="0" applyNumberFormat="1" applyFont="1" applyFill="1" applyBorder="1" applyAlignment="1">
      <alignment horizontal="right" vertical="center"/>
    </xf>
    <xf numFmtId="168" fontId="94" fillId="23" borderId="28" xfId="0" applyNumberFormat="1" applyFont="1" applyFill="1" applyBorder="1" applyAlignment="1">
      <alignment horizontal="right" vertical="center"/>
    </xf>
    <xf numFmtId="168" fontId="18" fillId="23" borderId="28" xfId="0" applyNumberFormat="1" applyFont="1" applyFill="1" applyBorder="1" applyAlignment="1">
      <alignment horizontal="right" vertical="center"/>
    </xf>
    <xf numFmtId="49" fontId="13" fillId="0" borderId="52" xfId="0" applyNumberFormat="1" applyFont="1" applyBorder="1" applyAlignment="1" applyProtection="1">
      <alignment horizontal="left" vertical="center"/>
    </xf>
    <xf numFmtId="49" fontId="13" fillId="0" borderId="52" xfId="0" applyNumberFormat="1" applyFont="1" applyFill="1" applyBorder="1" applyAlignment="1" applyProtection="1">
      <alignment vertical="center"/>
    </xf>
    <xf numFmtId="170" fontId="28" fillId="0" borderId="54" xfId="0" applyNumberFormat="1" applyFont="1" applyFill="1" applyBorder="1" applyAlignment="1" applyProtection="1">
      <alignment horizontal="center" vertical="center" wrapText="1"/>
    </xf>
    <xf numFmtId="49" fontId="44" fillId="0" borderId="65" xfId="0" applyNumberFormat="1" applyFont="1" applyFill="1" applyBorder="1" applyAlignment="1" applyProtection="1">
      <alignment vertical="center" wrapText="1"/>
    </xf>
    <xf numFmtId="49" fontId="44" fillId="0" borderId="10" xfId="0" applyNumberFormat="1" applyFont="1" applyFill="1" applyBorder="1" applyAlignment="1" applyProtection="1">
      <alignment vertical="center" wrapText="1"/>
    </xf>
    <xf numFmtId="3" fontId="28" fillId="0" borderId="0" xfId="0" applyNumberFormat="1" applyFont="1" applyFill="1" applyProtection="1"/>
    <xf numFmtId="169" fontId="16" fillId="0" borderId="1" xfId="5" applyNumberFormat="1" applyFont="1" applyFill="1" applyBorder="1" applyAlignment="1" applyProtection="1">
      <alignment horizontal="right" vertical="center"/>
    </xf>
    <xf numFmtId="0" fontId="63" fillId="0" borderId="7" xfId="5" applyFont="1" applyFill="1" applyBorder="1" applyAlignment="1">
      <alignment horizontal="left" vertical="center"/>
    </xf>
    <xf numFmtId="0" fontId="63" fillId="0" borderId="88" xfId="5" applyFont="1" applyFill="1" applyBorder="1" applyAlignment="1">
      <alignment horizontal="left" vertical="center"/>
    </xf>
    <xf numFmtId="0" fontId="63" fillId="0" borderId="8" xfId="5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vertical="center"/>
    </xf>
    <xf numFmtId="0" fontId="17" fillId="26" borderId="23" xfId="5" applyFont="1" applyFill="1" applyBorder="1" applyAlignment="1">
      <alignment vertical="center" wrapText="1"/>
    </xf>
    <xf numFmtId="3" fontId="16" fillId="26" borderId="21" xfId="5" applyNumberFormat="1" applyFont="1" applyFill="1" applyBorder="1" applyAlignment="1">
      <alignment vertical="center"/>
    </xf>
    <xf numFmtId="3" fontId="16" fillId="26" borderId="59" xfId="5" applyNumberFormat="1" applyFont="1" applyFill="1" applyBorder="1" applyAlignment="1">
      <alignment vertical="center"/>
    </xf>
    <xf numFmtId="3" fontId="17" fillId="26" borderId="62" xfId="5" applyNumberFormat="1" applyFont="1" applyFill="1" applyBorder="1" applyAlignment="1">
      <alignment vertical="center"/>
    </xf>
    <xf numFmtId="0" fontId="72" fillId="0" borderId="114" xfId="5" applyFont="1" applyBorder="1" applyAlignment="1">
      <alignment vertical="center"/>
    </xf>
    <xf numFmtId="0" fontId="72" fillId="0" borderId="91" xfId="5" applyFont="1" applyFill="1" applyBorder="1" applyAlignment="1">
      <alignment horizontal="right" vertical="center"/>
    </xf>
    <xf numFmtId="0" fontId="44" fillId="0" borderId="75" xfId="5" applyFont="1" applyFill="1" applyBorder="1" applyAlignment="1">
      <alignment horizontal="right" vertical="center"/>
    </xf>
    <xf numFmtId="3" fontId="44" fillId="0" borderId="75" xfId="5" quotePrefix="1" applyNumberFormat="1" applyFont="1" applyFill="1" applyBorder="1" applyAlignment="1">
      <alignment horizontal="right" vertical="center"/>
    </xf>
    <xf numFmtId="0" fontId="44" fillId="0" borderId="115" xfId="5" applyFont="1" applyFill="1" applyBorder="1" applyAlignment="1">
      <alignment vertical="center"/>
    </xf>
    <xf numFmtId="3" fontId="44" fillId="0" borderId="76" xfId="5" applyNumberFormat="1" applyFont="1" applyFill="1" applyBorder="1" applyAlignment="1">
      <alignment horizontal="right" vertical="center"/>
    </xf>
    <xf numFmtId="0" fontId="72" fillId="0" borderId="75" xfId="5" applyFont="1" applyBorder="1" applyAlignment="1">
      <alignment horizontal="right" vertical="center"/>
    </xf>
    <xf numFmtId="3" fontId="72" fillId="0" borderId="75" xfId="5" applyNumberFormat="1" applyFont="1" applyBorder="1" applyAlignment="1">
      <alignment horizontal="right" vertical="center"/>
    </xf>
    <xf numFmtId="168" fontId="64" fillId="23" borderId="35" xfId="0" applyNumberFormat="1" applyFont="1" applyFill="1" applyBorder="1" applyAlignment="1">
      <alignment horizontal="right" vertical="center" wrapText="1"/>
    </xf>
    <xf numFmtId="4" fontId="63" fillId="0" borderId="122" xfId="0" quotePrefix="1" applyNumberFormat="1" applyFont="1" applyFill="1" applyBorder="1" applyAlignment="1">
      <alignment horizontal="right" vertical="center" wrapText="1"/>
    </xf>
    <xf numFmtId="4" fontId="64" fillId="23" borderId="118" xfId="0" quotePrefix="1" applyNumberFormat="1" applyFont="1" applyFill="1" applyBorder="1" applyAlignment="1">
      <alignment horizontal="right" vertical="center" wrapText="1"/>
    </xf>
    <xf numFmtId="0" fontId="64" fillId="23" borderId="35" xfId="0" applyFont="1" applyFill="1" applyBorder="1" applyAlignment="1">
      <alignment horizontal="right" vertical="center" wrapText="1"/>
    </xf>
    <xf numFmtId="4" fontId="64" fillId="23" borderId="36" xfId="0" quotePrefix="1" applyNumberFormat="1" applyFont="1" applyFill="1" applyBorder="1" applyAlignment="1">
      <alignment horizontal="right" vertical="center" wrapText="1"/>
    </xf>
    <xf numFmtId="168" fontId="64" fillId="0" borderId="127" xfId="0" quotePrefix="1" applyNumberFormat="1" applyFont="1" applyFill="1" applyBorder="1" applyAlignment="1">
      <alignment horizontal="right" vertical="center" wrapText="1"/>
    </xf>
    <xf numFmtId="4" fontId="63" fillId="0" borderId="127" xfId="0" applyNumberFormat="1" applyFont="1" applyFill="1" applyBorder="1" applyAlignment="1">
      <alignment horizontal="right" vertical="center" wrapText="1"/>
    </xf>
    <xf numFmtId="168" fontId="64" fillId="0" borderId="128" xfId="0" quotePrefix="1" applyNumberFormat="1" applyFont="1" applyFill="1" applyBorder="1" applyAlignment="1">
      <alignment horizontal="right" vertical="center" wrapText="1"/>
    </xf>
    <xf numFmtId="168" fontId="64" fillId="23" borderId="126" xfId="0" applyNumberFormat="1" applyFont="1" applyFill="1" applyBorder="1" applyAlignment="1">
      <alignment horizontal="right" vertical="center" wrapText="1"/>
    </xf>
    <xf numFmtId="3" fontId="36" fillId="7" borderId="65" xfId="4" applyNumberFormat="1" applyFont="1" applyFill="1" applyBorder="1" applyAlignment="1">
      <alignment horizontal="right" vertical="center"/>
    </xf>
    <xf numFmtId="3" fontId="36" fillId="0" borderId="7" xfId="4" applyNumberFormat="1" applyFont="1" applyFill="1" applyBorder="1" applyAlignment="1">
      <alignment horizontal="right" vertical="center"/>
    </xf>
    <xf numFmtId="3" fontId="36" fillId="9" borderId="7" xfId="4" applyNumberFormat="1" applyFont="1" applyFill="1" applyBorder="1" applyAlignment="1">
      <alignment horizontal="right" vertical="center"/>
    </xf>
    <xf numFmtId="3" fontId="36" fillId="0" borderId="8" xfId="4" applyNumberFormat="1" applyFont="1" applyFill="1" applyBorder="1" applyAlignment="1">
      <alignment horizontal="right" vertical="center"/>
    </xf>
    <xf numFmtId="3" fontId="17" fillId="10" borderId="73" xfId="4" applyNumberFormat="1" applyFont="1" applyFill="1" applyBorder="1" applyAlignment="1">
      <alignment horizontal="right" vertical="center"/>
    </xf>
    <xf numFmtId="3" fontId="17" fillId="14" borderId="7" xfId="4" applyNumberFormat="1" applyFont="1" applyFill="1" applyBorder="1" applyAlignment="1">
      <alignment horizontal="right" vertical="center"/>
    </xf>
    <xf numFmtId="3" fontId="36" fillId="6" borderId="16" xfId="4" applyNumberFormat="1" applyFont="1" applyFill="1" applyBorder="1" applyAlignment="1">
      <alignment horizontal="right" vertical="center"/>
    </xf>
    <xf numFmtId="3" fontId="36" fillId="8" borderId="7" xfId="4" applyNumberFormat="1" applyFont="1" applyFill="1" applyBorder="1" applyAlignment="1">
      <alignment horizontal="right" vertical="center"/>
    </xf>
    <xf numFmtId="3" fontId="36" fillId="7" borderId="7" xfId="4" applyNumberFormat="1" applyFont="1" applyFill="1" applyBorder="1" applyAlignment="1">
      <alignment horizontal="right" vertical="center"/>
    </xf>
    <xf numFmtId="3" fontId="36" fillId="6" borderId="7" xfId="4" applyNumberFormat="1" applyFont="1" applyFill="1" applyBorder="1" applyAlignment="1">
      <alignment horizontal="right" vertical="center"/>
    </xf>
    <xf numFmtId="3" fontId="36" fillId="8" borderId="72" xfId="4" applyNumberFormat="1" applyFont="1" applyFill="1" applyBorder="1" applyAlignment="1">
      <alignment horizontal="right" vertical="center"/>
    </xf>
    <xf numFmtId="3" fontId="17" fillId="7" borderId="132" xfId="4" applyNumberFormat="1" applyFont="1" applyFill="1" applyBorder="1" applyAlignment="1">
      <alignment horizontal="right" vertical="center"/>
    </xf>
    <xf numFmtId="3" fontId="36" fillId="7" borderId="133" xfId="4" applyNumberFormat="1" applyFont="1" applyFill="1" applyBorder="1" applyAlignment="1">
      <alignment horizontal="right" vertical="center"/>
    </xf>
    <xf numFmtId="3" fontId="16" fillId="0" borderId="120" xfId="4" applyNumberFormat="1" applyFont="1" applyFill="1" applyBorder="1" applyAlignment="1">
      <alignment horizontal="right" vertical="center"/>
    </xf>
    <xf numFmtId="3" fontId="36" fillId="0" borderId="134" xfId="4" applyNumberFormat="1" applyFont="1" applyFill="1" applyBorder="1" applyAlignment="1">
      <alignment horizontal="right" vertical="center"/>
    </xf>
    <xf numFmtId="3" fontId="17" fillId="9" borderId="120" xfId="4" applyNumberFormat="1" applyFont="1" applyFill="1" applyBorder="1" applyAlignment="1">
      <alignment horizontal="right" vertical="center"/>
    </xf>
    <xf numFmtId="3" fontId="36" fillId="9" borderId="134" xfId="4" applyNumberFormat="1" applyFont="1" applyFill="1" applyBorder="1" applyAlignment="1">
      <alignment horizontal="right" vertical="center"/>
    </xf>
    <xf numFmtId="3" fontId="16" fillId="0" borderId="135" xfId="4" applyNumberFormat="1" applyFont="1" applyFill="1" applyBorder="1" applyAlignment="1">
      <alignment horizontal="right" vertical="center"/>
    </xf>
    <xf numFmtId="3" fontId="36" fillId="0" borderId="136" xfId="4" applyNumberFormat="1" applyFont="1" applyFill="1" applyBorder="1" applyAlignment="1">
      <alignment horizontal="right" vertical="center"/>
    </xf>
    <xf numFmtId="3" fontId="17" fillId="10" borderId="127" xfId="4" applyNumberFormat="1" applyFont="1" applyFill="1" applyBorder="1" applyAlignment="1">
      <alignment horizontal="right" vertical="center"/>
    </xf>
    <xf numFmtId="3" fontId="16" fillId="14" borderId="120" xfId="4" applyNumberFormat="1" applyFont="1" applyFill="1" applyBorder="1" applyAlignment="1">
      <alignment horizontal="right" vertical="center"/>
    </xf>
    <xf numFmtId="3" fontId="17" fillId="14" borderId="134" xfId="4" applyNumberFormat="1" applyFont="1" applyFill="1" applyBorder="1" applyAlignment="1">
      <alignment horizontal="right" vertical="center"/>
    </xf>
    <xf numFmtId="3" fontId="17" fillId="14" borderId="137" xfId="4" applyNumberFormat="1" applyFont="1" applyFill="1" applyBorder="1" applyAlignment="1">
      <alignment horizontal="right" vertical="center"/>
    </xf>
    <xf numFmtId="3" fontId="16" fillId="14" borderId="135" xfId="4" applyNumberFormat="1" applyFont="1" applyFill="1" applyBorder="1" applyAlignment="1">
      <alignment horizontal="right" vertical="center"/>
    </xf>
    <xf numFmtId="3" fontId="17" fillId="7" borderId="121" xfId="4" applyNumberFormat="1" applyFont="1" applyFill="1" applyBorder="1" applyAlignment="1">
      <alignment horizontal="right" vertical="center"/>
    </xf>
    <xf numFmtId="3" fontId="16" fillId="6" borderId="120" xfId="4" applyNumberFormat="1" applyFont="1" applyFill="1" applyBorder="1" applyAlignment="1">
      <alignment horizontal="right" vertical="center"/>
    </xf>
    <xf numFmtId="3" fontId="36" fillId="6" borderId="134" xfId="4" applyNumberFormat="1" applyFont="1" applyFill="1" applyBorder="1" applyAlignment="1">
      <alignment horizontal="right" vertical="center"/>
    </xf>
    <xf numFmtId="3" fontId="16" fillId="8" borderId="120" xfId="4" applyNumberFormat="1" applyFont="1" applyFill="1" applyBorder="1" applyAlignment="1">
      <alignment horizontal="right" vertical="center"/>
    </xf>
    <xf numFmtId="3" fontId="36" fillId="8" borderId="134" xfId="4" applyNumberFormat="1" applyFont="1" applyFill="1" applyBorder="1" applyAlignment="1">
      <alignment horizontal="right" vertical="center"/>
    </xf>
    <xf numFmtId="3" fontId="17" fillId="7" borderId="120" xfId="4" applyNumberFormat="1" applyFont="1" applyFill="1" applyBorder="1" applyAlignment="1">
      <alignment horizontal="right" vertical="center"/>
    </xf>
    <xf numFmtId="3" fontId="36" fillId="7" borderId="134" xfId="4" applyNumberFormat="1" applyFont="1" applyFill="1" applyBorder="1" applyAlignment="1">
      <alignment horizontal="right" vertical="center"/>
    </xf>
    <xf numFmtId="3" fontId="16" fillId="8" borderId="117" xfId="4" applyNumberFormat="1" applyFont="1" applyFill="1" applyBorder="1" applyAlignment="1">
      <alignment horizontal="right" vertical="center"/>
    </xf>
    <xf numFmtId="3" fontId="36" fillId="8" borderId="129" xfId="4" applyNumberFormat="1" applyFont="1" applyFill="1" applyBorder="1" applyAlignment="1">
      <alignment horizontal="right" vertical="center"/>
    </xf>
    <xf numFmtId="10" fontId="36" fillId="20" borderId="65" xfId="4" applyNumberFormat="1" applyFont="1" applyFill="1" applyBorder="1" applyAlignment="1">
      <alignment horizontal="right" vertical="center"/>
    </xf>
    <xf numFmtId="10" fontId="35" fillId="20" borderId="7" xfId="4" applyNumberFormat="1" applyFont="1" applyFill="1" applyBorder="1" applyAlignment="1">
      <alignment horizontal="right" vertical="center"/>
    </xf>
    <xf numFmtId="10" fontId="36" fillId="20" borderId="8" xfId="4" applyNumberFormat="1" applyFont="1" applyFill="1" applyBorder="1" applyAlignment="1">
      <alignment horizontal="right" vertical="center"/>
    </xf>
    <xf numFmtId="10" fontId="35" fillId="20" borderId="132" xfId="4" applyNumberFormat="1" applyFont="1" applyFill="1" applyBorder="1" applyAlignment="1">
      <alignment horizontal="right" vertical="center"/>
    </xf>
    <xf numFmtId="10" fontId="36" fillId="20" borderId="133" xfId="4" applyNumberFormat="1" applyFont="1" applyFill="1" applyBorder="1" applyAlignment="1">
      <alignment horizontal="right" vertical="center"/>
    </xf>
    <xf numFmtId="10" fontId="35" fillId="20" borderId="120" xfId="4" applyNumberFormat="1" applyFont="1" applyFill="1" applyBorder="1" applyAlignment="1">
      <alignment horizontal="right" vertical="center"/>
    </xf>
    <xf numFmtId="10" fontId="35" fillId="20" borderId="134" xfId="4" applyNumberFormat="1" applyFont="1" applyFill="1" applyBorder="1" applyAlignment="1">
      <alignment horizontal="right" vertical="center"/>
    </xf>
    <xf numFmtId="10" fontId="36" fillId="20" borderId="135" xfId="4" applyNumberFormat="1" applyFont="1" applyFill="1" applyBorder="1" applyAlignment="1">
      <alignment horizontal="right" vertical="center"/>
    </xf>
    <xf numFmtId="10" fontId="36" fillId="20" borderId="136" xfId="4" applyNumberFormat="1" applyFont="1" applyFill="1" applyBorder="1" applyAlignment="1">
      <alignment horizontal="right" vertical="center"/>
    </xf>
    <xf numFmtId="10" fontId="36" fillId="0" borderId="10" xfId="4" applyNumberFormat="1" applyFont="1" applyFill="1" applyBorder="1" applyAlignment="1">
      <alignment horizontal="right" vertical="center"/>
    </xf>
    <xf numFmtId="10" fontId="36" fillId="0" borderId="6" xfId="4" applyNumberFormat="1" applyFont="1" applyFill="1" applyBorder="1" applyAlignment="1">
      <alignment horizontal="right" vertical="center"/>
    </xf>
    <xf numFmtId="0" fontId="98" fillId="0" borderId="0" xfId="4" applyNumberFormat="1" applyFont="1" applyFill="1" applyBorder="1" applyAlignment="1">
      <alignment horizontal="center" vertical="center"/>
    </xf>
    <xf numFmtId="0" fontId="98" fillId="0" borderId="0" xfId="4" applyNumberFormat="1" applyFont="1" applyFill="1" applyBorder="1" applyAlignment="1">
      <alignment vertical="center"/>
    </xf>
    <xf numFmtId="0" fontId="35" fillId="17" borderId="9" xfId="4" applyNumberFormat="1" applyFont="1" applyFill="1" applyBorder="1" applyAlignment="1">
      <alignment horizontal="center" vertical="center"/>
    </xf>
    <xf numFmtId="0" fontId="60" fillId="17" borderId="10" xfId="4" applyNumberFormat="1" applyFont="1" applyFill="1" applyBorder="1" applyAlignment="1">
      <alignment horizontal="center" vertical="center"/>
    </xf>
    <xf numFmtId="0" fontId="35" fillId="17" borderId="32" xfId="4" applyNumberFormat="1" applyFont="1" applyFill="1" applyBorder="1" applyAlignment="1">
      <alignment horizontal="center" vertical="center" wrapText="1"/>
    </xf>
    <xf numFmtId="0" fontId="35" fillId="17" borderId="35" xfId="4" applyNumberFormat="1" applyFont="1" applyFill="1" applyBorder="1" applyAlignment="1">
      <alignment horizontal="center" vertical="center"/>
    </xf>
    <xf numFmtId="0" fontId="97" fillId="17" borderId="118" xfId="4" applyNumberFormat="1" applyFont="1" applyFill="1" applyBorder="1" applyAlignment="1">
      <alignment horizontal="center" vertical="center" wrapText="1"/>
    </xf>
    <xf numFmtId="0" fontId="97" fillId="17" borderId="33" xfId="4" applyNumberFormat="1" applyFont="1" applyFill="1" applyBorder="1" applyAlignment="1">
      <alignment horizontal="center" vertical="center" wrapText="1"/>
    </xf>
    <xf numFmtId="0" fontId="75" fillId="17" borderId="37" xfId="0" applyFont="1" applyFill="1" applyBorder="1" applyAlignment="1">
      <alignment horizontal="center" vertical="center" wrapText="1"/>
    </xf>
    <xf numFmtId="0" fontId="97" fillId="17" borderId="36" xfId="4" applyNumberFormat="1" applyFont="1" applyFill="1" applyBorder="1" applyAlignment="1">
      <alignment horizontal="center" vertical="center" wrapText="1"/>
    </xf>
    <xf numFmtId="0" fontId="75" fillId="17" borderId="126" xfId="0" applyFont="1" applyFill="1" applyBorder="1" applyAlignment="1">
      <alignment horizontal="center" vertical="center" wrapText="1"/>
    </xf>
    <xf numFmtId="3" fontId="17" fillId="14" borderId="138" xfId="4" applyNumberFormat="1" applyFont="1" applyFill="1" applyBorder="1" applyAlignment="1">
      <alignment horizontal="right" vertical="center"/>
    </xf>
    <xf numFmtId="3" fontId="36" fillId="7" borderId="139" xfId="4" applyNumberFormat="1" applyFont="1" applyFill="1" applyBorder="1" applyAlignment="1">
      <alignment horizontal="right" vertical="center"/>
    </xf>
    <xf numFmtId="3" fontId="36" fillId="6" borderId="137" xfId="4" applyNumberFormat="1" applyFont="1" applyFill="1" applyBorder="1" applyAlignment="1">
      <alignment horizontal="right" vertical="center"/>
    </xf>
    <xf numFmtId="3" fontId="36" fillId="9" borderId="137" xfId="4" applyNumberFormat="1" applyFont="1" applyFill="1" applyBorder="1" applyAlignment="1">
      <alignment horizontal="right" vertical="center"/>
    </xf>
    <xf numFmtId="10" fontId="35" fillId="20" borderId="66" xfId="4" applyNumberFormat="1" applyFont="1" applyFill="1" applyBorder="1" applyAlignment="1">
      <alignment horizontal="right" vertical="center"/>
    </xf>
    <xf numFmtId="10" fontId="35" fillId="20" borderId="47" xfId="4" applyNumberFormat="1" applyFont="1" applyFill="1" applyBorder="1" applyAlignment="1">
      <alignment horizontal="right" vertical="center"/>
    </xf>
    <xf numFmtId="10" fontId="36" fillId="20" borderId="48" xfId="4" applyNumberFormat="1" applyFont="1" applyFill="1" applyBorder="1" applyAlignment="1">
      <alignment horizontal="right" vertical="center"/>
    </xf>
    <xf numFmtId="0" fontId="75" fillId="17" borderId="35" xfId="0" applyFont="1" applyFill="1" applyBorder="1" applyAlignment="1">
      <alignment horizontal="center" vertical="center" wrapText="1"/>
    </xf>
    <xf numFmtId="3" fontId="17" fillId="14" borderId="16" xfId="4" applyNumberFormat="1" applyFont="1" applyFill="1" applyBorder="1" applyAlignment="1">
      <alignment horizontal="right" vertical="center"/>
    </xf>
    <xf numFmtId="3" fontId="17" fillId="14" borderId="70" xfId="4" applyNumberFormat="1" applyFont="1" applyFill="1" applyBorder="1" applyAlignment="1">
      <alignment horizontal="right" vertical="center"/>
    </xf>
    <xf numFmtId="3" fontId="36" fillId="7" borderId="28" xfId="4" applyNumberFormat="1" applyFont="1" applyFill="1" applyBorder="1" applyAlignment="1">
      <alignment horizontal="right" vertical="center"/>
    </xf>
    <xf numFmtId="3" fontId="36" fillId="9" borderId="16" xfId="4" applyNumberFormat="1" applyFont="1" applyFill="1" applyBorder="1" applyAlignment="1">
      <alignment horizontal="right" vertical="center"/>
    </xf>
    <xf numFmtId="3" fontId="36" fillId="7" borderId="53" xfId="4" applyNumberFormat="1" applyFont="1" applyFill="1" applyBorder="1" applyAlignment="1">
      <alignment horizontal="right" vertical="center"/>
    </xf>
    <xf numFmtId="3" fontId="36" fillId="7" borderId="73" xfId="4" applyNumberFormat="1" applyFont="1" applyFill="1" applyBorder="1" applyAlignment="1">
      <alignment horizontal="right" vertical="center"/>
    </xf>
    <xf numFmtId="0" fontId="35" fillId="14" borderId="1" xfId="4" applyNumberFormat="1" applyFont="1" applyFill="1" applyBorder="1" applyAlignment="1">
      <alignment horizontal="left" vertical="center"/>
    </xf>
    <xf numFmtId="3" fontId="17" fillId="10" borderId="121" xfId="4" applyNumberFormat="1" applyFont="1" applyFill="1" applyBorder="1" applyAlignment="1">
      <alignment horizontal="right" vertical="center"/>
    </xf>
    <xf numFmtId="3" fontId="36" fillId="7" borderId="127" xfId="4" applyNumberFormat="1" applyFont="1" applyFill="1" applyBorder="1" applyAlignment="1">
      <alignment horizontal="right" vertical="center"/>
    </xf>
    <xf numFmtId="49" fontId="47" fillId="3" borderId="35" xfId="0" applyNumberFormat="1" applyFont="1" applyFill="1" applyBorder="1" applyAlignment="1" applyProtection="1">
      <alignment horizontal="center" vertical="center" wrapText="1"/>
    </xf>
    <xf numFmtId="0" fontId="17" fillId="11" borderId="53" xfId="0" applyFont="1" applyFill="1" applyBorder="1" applyAlignment="1" applyProtection="1">
      <alignment horizontal="left" vertical="center" wrapText="1"/>
      <protection locked="0"/>
    </xf>
    <xf numFmtId="49" fontId="17" fillId="4" borderId="3" xfId="0" applyNumberFormat="1" applyFont="1" applyFill="1" applyBorder="1" applyAlignment="1" applyProtection="1">
      <alignment horizontal="left" vertical="center"/>
    </xf>
    <xf numFmtId="3" fontId="17" fillId="4" borderId="3" xfId="0" applyNumberFormat="1" applyFont="1" applyFill="1" applyBorder="1" applyAlignment="1" applyProtection="1">
      <alignment vertical="center" wrapText="1"/>
    </xf>
    <xf numFmtId="0" fontId="17" fillId="0" borderId="16" xfId="0" applyFont="1" applyFill="1" applyBorder="1" applyAlignment="1" applyProtection="1">
      <alignment vertical="center"/>
    </xf>
    <xf numFmtId="3" fontId="17" fillId="0" borderId="16" xfId="0" applyNumberFormat="1" applyFont="1" applyFill="1" applyBorder="1" applyAlignment="1" applyProtection="1">
      <alignment vertical="center"/>
    </xf>
    <xf numFmtId="3" fontId="16" fillId="21" borderId="3" xfId="5" applyNumberFormat="1" applyFont="1" applyFill="1" applyBorder="1" applyAlignment="1">
      <alignment vertical="center"/>
    </xf>
    <xf numFmtId="0" fontId="88" fillId="0" borderId="0" xfId="0" applyFont="1"/>
    <xf numFmtId="164" fontId="16" fillId="0" borderId="0" xfId="0" applyNumberFormat="1" applyFont="1"/>
    <xf numFmtId="3" fontId="16" fillId="0" borderId="0" xfId="0" applyNumberFormat="1" applyFont="1"/>
    <xf numFmtId="3" fontId="17" fillId="4" borderId="3" xfId="0" applyNumberFormat="1" applyFont="1" applyFill="1" applyBorder="1" applyAlignment="1" applyProtection="1">
      <alignment vertical="center"/>
    </xf>
    <xf numFmtId="3" fontId="17" fillId="4" borderId="4" xfId="0" applyNumberFormat="1" applyFont="1" applyFill="1" applyBorder="1" applyAlignment="1" applyProtection="1">
      <alignment vertical="center"/>
    </xf>
    <xf numFmtId="0" fontId="53" fillId="0" borderId="0" xfId="0" applyFont="1" applyAlignment="1" applyProtection="1">
      <alignment vertical="center"/>
    </xf>
    <xf numFmtId="0" fontId="87" fillId="0" borderId="0" xfId="0" applyFont="1" applyAlignment="1" applyProtection="1">
      <alignment vertical="center"/>
    </xf>
    <xf numFmtId="3" fontId="17" fillId="11" borderId="3" xfId="0" applyNumberFormat="1" applyFont="1" applyFill="1" applyBorder="1" applyAlignment="1" applyProtection="1">
      <alignment horizontal="right" vertical="center" wrapText="1"/>
      <protection locked="0"/>
    </xf>
    <xf numFmtId="3" fontId="17" fillId="11" borderId="1" xfId="0" applyNumberFormat="1" applyFont="1" applyFill="1" applyBorder="1" applyAlignment="1" applyProtection="1">
      <alignment horizontal="right" vertical="center" wrapText="1"/>
      <protection locked="0"/>
    </xf>
    <xf numFmtId="3" fontId="17" fillId="19" borderId="1" xfId="0" applyNumberFormat="1" applyFont="1" applyFill="1" applyBorder="1" applyAlignment="1" applyProtection="1">
      <alignment vertical="center"/>
    </xf>
    <xf numFmtId="49" fontId="17" fillId="15" borderId="3" xfId="0" applyNumberFormat="1" applyFont="1" applyFill="1" applyBorder="1" applyAlignment="1" applyProtection="1">
      <alignment horizontal="left" vertical="center"/>
    </xf>
    <xf numFmtId="3" fontId="17" fillId="15" borderId="3" xfId="0" applyNumberFormat="1" applyFont="1" applyFill="1" applyBorder="1" applyAlignment="1" applyProtection="1">
      <alignment vertical="center" wrapText="1"/>
    </xf>
    <xf numFmtId="3" fontId="17" fillId="15" borderId="1" xfId="0" applyNumberFormat="1" applyFont="1" applyFill="1" applyBorder="1" applyAlignment="1" applyProtection="1">
      <alignment vertical="center" wrapText="1"/>
    </xf>
    <xf numFmtId="3" fontId="17" fillId="11" borderId="3" xfId="0" applyNumberFormat="1" applyFont="1" applyFill="1" applyBorder="1" applyAlignment="1" applyProtection="1">
      <alignment vertical="center" wrapText="1"/>
      <protection locked="0"/>
    </xf>
    <xf numFmtId="0" fontId="17" fillId="11" borderId="61" xfId="0" applyFont="1" applyFill="1" applyBorder="1" applyAlignment="1" applyProtection="1">
      <alignment horizontal="left" vertical="center" wrapText="1"/>
      <protection locked="0"/>
    </xf>
    <xf numFmtId="3" fontId="16" fillId="11" borderId="3" xfId="0" applyNumberFormat="1" applyFont="1" applyFill="1" applyBorder="1" applyAlignment="1" applyProtection="1">
      <alignment vertical="center" wrapText="1"/>
      <protection locked="0"/>
    </xf>
    <xf numFmtId="3" fontId="16" fillId="11" borderId="1" xfId="0" applyNumberFormat="1" applyFont="1" applyFill="1" applyBorder="1" applyAlignment="1" applyProtection="1">
      <alignment vertical="center" wrapText="1"/>
      <protection locked="0"/>
    </xf>
    <xf numFmtId="49" fontId="17" fillId="15" borderId="52" xfId="0" applyNumberFormat="1" applyFont="1" applyFill="1" applyBorder="1" applyAlignment="1" applyProtection="1">
      <alignment horizontal="left" vertical="center"/>
    </xf>
    <xf numFmtId="49" fontId="17" fillId="9" borderId="3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47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 wrapText="1"/>
    </xf>
    <xf numFmtId="3" fontId="47" fillId="0" borderId="0" xfId="0" applyNumberFormat="1" applyFont="1" applyBorder="1" applyAlignment="1" applyProtection="1">
      <alignment horizontal="right" vertical="center"/>
    </xf>
    <xf numFmtId="3" fontId="47" fillId="0" borderId="0" xfId="0" applyNumberFormat="1" applyFont="1" applyAlignment="1" applyProtection="1">
      <alignment horizontal="right" vertical="center"/>
    </xf>
    <xf numFmtId="0" fontId="17" fillId="0" borderId="41" xfId="0" applyFont="1" applyFill="1" applyBorder="1" applyAlignment="1" applyProtection="1">
      <alignment vertical="center"/>
    </xf>
    <xf numFmtId="0" fontId="17" fillId="0" borderId="53" xfId="0" applyFont="1" applyFill="1" applyBorder="1" applyAlignment="1" applyProtection="1">
      <alignment horizontal="center" vertical="center"/>
    </xf>
    <xf numFmtId="3" fontId="17" fillId="0" borderId="53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75" xfId="0" applyFont="1" applyFill="1" applyBorder="1" applyAlignment="1" applyProtection="1">
      <alignment horizontal="center" vertical="center"/>
    </xf>
    <xf numFmtId="3" fontId="16" fillId="0" borderId="75" xfId="0" applyNumberFormat="1" applyFont="1" applyFill="1" applyBorder="1" applyAlignment="1" applyProtection="1">
      <alignment vertical="center"/>
    </xf>
    <xf numFmtId="3" fontId="16" fillId="0" borderId="53" xfId="0" applyNumberFormat="1" applyFont="1" applyFill="1" applyBorder="1" applyAlignment="1" applyProtection="1">
      <alignment vertical="center"/>
    </xf>
    <xf numFmtId="0" fontId="17" fillId="0" borderId="75" xfId="0" applyFont="1" applyFill="1" applyBorder="1" applyAlignment="1" applyProtection="1">
      <alignment horizontal="center" vertical="center"/>
    </xf>
    <xf numFmtId="3" fontId="16" fillId="0" borderId="6" xfId="0" applyNumberFormat="1" applyFont="1" applyFill="1" applyBorder="1" applyAlignment="1" applyProtection="1">
      <alignment vertical="center"/>
    </xf>
    <xf numFmtId="3" fontId="16" fillId="11" borderId="1" xfId="0" applyNumberFormat="1" applyFont="1" applyFill="1" applyBorder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100" fillId="0" borderId="0" xfId="0" applyFont="1" applyAlignment="1" applyProtection="1">
      <alignment horizontal="right" vertical="center"/>
    </xf>
    <xf numFmtId="4" fontId="44" fillId="0" borderId="0" xfId="0" applyNumberFormat="1" applyFont="1" applyAlignment="1" applyProtection="1">
      <alignment vertical="center"/>
    </xf>
    <xf numFmtId="0" fontId="44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 wrapText="1"/>
    </xf>
    <xf numFmtId="0" fontId="53" fillId="0" borderId="7" xfId="0" applyFont="1" applyFill="1" applyBorder="1" applyAlignment="1" applyProtection="1">
      <alignment horizontal="left" vertical="center" wrapText="1"/>
      <protection locked="0"/>
    </xf>
    <xf numFmtId="0" fontId="17" fillId="15" borderId="73" xfId="0" applyFont="1" applyFill="1" applyBorder="1" applyAlignment="1" applyProtection="1">
      <alignment vertical="center" wrapText="1"/>
    </xf>
    <xf numFmtId="0" fontId="17" fillId="0" borderId="41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11" borderId="28" xfId="0" applyFont="1" applyFill="1" applyBorder="1" applyAlignment="1" applyProtection="1">
      <alignment vertical="center"/>
      <protection locked="0"/>
    </xf>
    <xf numFmtId="3" fontId="17" fillId="4" borderId="47" xfId="0" applyNumberFormat="1" applyFont="1" applyFill="1" applyBorder="1" applyAlignment="1" applyProtection="1">
      <alignment vertical="center" wrapText="1"/>
    </xf>
    <xf numFmtId="3" fontId="16" fillId="21" borderId="47" xfId="5" applyNumberFormat="1" applyFont="1" applyFill="1" applyBorder="1" applyAlignment="1">
      <alignment vertical="center"/>
    </xf>
    <xf numFmtId="3" fontId="17" fillId="4" borderId="47" xfId="0" applyNumberFormat="1" applyFont="1" applyFill="1" applyBorder="1" applyAlignment="1" applyProtection="1">
      <alignment vertical="center"/>
    </xf>
    <xf numFmtId="3" fontId="17" fillId="11" borderId="47" xfId="0" applyNumberFormat="1" applyFont="1" applyFill="1" applyBorder="1" applyAlignment="1" applyProtection="1">
      <alignment horizontal="right" vertical="center" wrapText="1"/>
      <protection locked="0"/>
    </xf>
    <xf numFmtId="3" fontId="17" fillId="15" borderId="47" xfId="0" applyNumberFormat="1" applyFont="1" applyFill="1" applyBorder="1" applyAlignment="1" applyProtection="1">
      <alignment vertical="center" wrapText="1"/>
    </xf>
    <xf numFmtId="3" fontId="17" fillId="11" borderId="47" xfId="0" applyNumberFormat="1" applyFont="1" applyFill="1" applyBorder="1" applyAlignment="1" applyProtection="1">
      <alignment vertical="center" wrapText="1"/>
      <protection locked="0"/>
    </xf>
    <xf numFmtId="3" fontId="16" fillId="11" borderId="47" xfId="0" applyNumberFormat="1" applyFont="1" applyFill="1" applyBorder="1" applyAlignment="1" applyProtection="1">
      <alignment vertical="center" wrapText="1"/>
      <protection locked="0"/>
    </xf>
    <xf numFmtId="0" fontId="17" fillId="11" borderId="52" xfId="0" applyFont="1" applyFill="1" applyBorder="1" applyAlignment="1" applyProtection="1">
      <alignment vertical="center"/>
      <protection locked="0"/>
    </xf>
    <xf numFmtId="0" fontId="17" fillId="0" borderId="73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left" vertical="center" wrapText="1"/>
      <protection locked="0"/>
    </xf>
    <xf numFmtId="0" fontId="16" fillId="0" borderId="88" xfId="0" applyFont="1" applyFill="1" applyBorder="1" applyAlignment="1" applyProtection="1">
      <alignment horizontal="left" vertical="center" wrapText="1"/>
      <protection locked="0"/>
    </xf>
    <xf numFmtId="0" fontId="16" fillId="11" borderId="7" xfId="0" applyFont="1" applyFill="1" applyBorder="1" applyAlignment="1" applyProtection="1">
      <alignment vertical="center"/>
    </xf>
    <xf numFmtId="3" fontId="16" fillId="0" borderId="4" xfId="0" applyNumberFormat="1" applyFont="1" applyFill="1" applyBorder="1" applyAlignment="1" applyProtection="1">
      <alignment vertical="center"/>
    </xf>
    <xf numFmtId="3" fontId="16" fillId="0" borderId="91" xfId="0" applyNumberFormat="1" applyFont="1" applyFill="1" applyBorder="1" applyAlignment="1" applyProtection="1">
      <alignment vertical="center"/>
    </xf>
    <xf numFmtId="3" fontId="16" fillId="0" borderId="76" xfId="0" applyNumberFormat="1" applyFont="1" applyFill="1" applyBorder="1" applyAlignment="1" applyProtection="1">
      <alignment vertical="center"/>
    </xf>
    <xf numFmtId="3" fontId="16" fillId="0" borderId="52" xfId="0" applyNumberFormat="1" applyFont="1" applyFill="1" applyBorder="1" applyAlignment="1" applyProtection="1">
      <alignment vertical="center"/>
    </xf>
    <xf numFmtId="3" fontId="16" fillId="0" borderId="54" xfId="0" applyNumberFormat="1" applyFont="1" applyFill="1" applyBorder="1" applyAlignment="1" applyProtection="1">
      <alignment vertical="center"/>
    </xf>
    <xf numFmtId="3" fontId="16" fillId="0" borderId="5" xfId="0" applyNumberFormat="1" applyFont="1" applyFill="1" applyBorder="1" applyAlignment="1" applyProtection="1">
      <alignment vertical="center"/>
    </xf>
    <xf numFmtId="3" fontId="16" fillId="0" borderId="26" xfId="0" applyNumberFormat="1" applyFont="1" applyFill="1" applyBorder="1" applyAlignment="1" applyProtection="1">
      <alignment vertical="center"/>
    </xf>
    <xf numFmtId="3" fontId="16" fillId="11" borderId="3" xfId="0" applyNumberFormat="1" applyFont="1" applyFill="1" applyBorder="1" applyAlignment="1" applyProtection="1">
      <alignment vertical="center"/>
    </xf>
    <xf numFmtId="0" fontId="16" fillId="0" borderId="38" xfId="0" applyFont="1" applyBorder="1" applyAlignment="1">
      <alignment horizontal="center" vertical="center"/>
    </xf>
    <xf numFmtId="0" fontId="53" fillId="0" borderId="7" xfId="0" applyFont="1" applyBorder="1" applyAlignment="1" applyProtection="1">
      <alignment horizontal="left" vertical="center" wrapText="1"/>
      <protection locked="0"/>
    </xf>
    <xf numFmtId="0" fontId="17" fillId="4" borderId="7" xfId="0" applyFont="1" applyFill="1" applyBorder="1" applyAlignment="1" applyProtection="1">
      <alignment vertical="center" wrapText="1"/>
    </xf>
    <xf numFmtId="0" fontId="53" fillId="0" borderId="7" xfId="0" applyFont="1" applyBorder="1" applyAlignment="1" applyProtection="1">
      <alignment horizontal="left" vertical="justify" wrapText="1"/>
      <protection locked="0"/>
    </xf>
    <xf numFmtId="49" fontId="17" fillId="4" borderId="7" xfId="0" applyNumberFormat="1" applyFont="1" applyFill="1" applyBorder="1" applyAlignment="1" applyProtection="1">
      <alignment horizontal="left" vertical="center" wrapText="1"/>
    </xf>
    <xf numFmtId="0" fontId="17" fillId="4" borderId="7" xfId="0" applyFont="1" applyFill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7" fillId="15" borderId="7" xfId="0" applyFont="1" applyFill="1" applyBorder="1" applyAlignment="1">
      <alignment horizontal="left" vertical="center" wrapText="1"/>
    </xf>
    <xf numFmtId="0" fontId="16" fillId="11" borderId="7" xfId="0" applyFont="1" applyFill="1" applyBorder="1" applyAlignment="1" applyProtection="1">
      <alignment horizontal="left" vertical="center" wrapText="1"/>
      <protection locked="0"/>
    </xf>
    <xf numFmtId="0" fontId="17" fillId="9" borderId="7" xfId="0" applyFont="1" applyFill="1" applyBorder="1" applyAlignment="1" applyProtection="1">
      <alignment horizontal="left" vertical="center" wrapText="1"/>
      <protection locked="0"/>
    </xf>
    <xf numFmtId="0" fontId="53" fillId="0" borderId="8" xfId="0" applyFont="1" applyFill="1" applyBorder="1" applyAlignment="1" applyProtection="1">
      <alignment horizontal="left" vertical="center" wrapText="1"/>
      <protection locked="0"/>
    </xf>
    <xf numFmtId="3" fontId="100" fillId="0" borderId="0" xfId="0" applyNumberFormat="1" applyFont="1" applyAlignment="1" applyProtection="1">
      <alignment vertical="center"/>
    </xf>
    <xf numFmtId="3" fontId="44" fillId="0" borderId="0" xfId="0" applyNumberFormat="1" applyFont="1" applyAlignment="1" applyProtection="1">
      <alignment vertical="center"/>
    </xf>
    <xf numFmtId="3" fontId="17" fillId="0" borderId="9" xfId="0" applyNumberFormat="1" applyFont="1" applyFill="1" applyBorder="1" applyAlignment="1" applyProtection="1">
      <alignment vertical="center"/>
    </xf>
    <xf numFmtId="3" fontId="17" fillId="0" borderId="10" xfId="0" applyNumberFormat="1" applyFont="1" applyFill="1" applyBorder="1" applyAlignment="1" applyProtection="1">
      <alignment vertical="center"/>
    </xf>
    <xf numFmtId="3" fontId="17" fillId="0" borderId="46" xfId="0" applyNumberFormat="1" applyFont="1" applyFill="1" applyBorder="1" applyAlignment="1" applyProtection="1">
      <alignment vertical="center"/>
    </xf>
    <xf numFmtId="3" fontId="17" fillId="0" borderId="52" xfId="0" applyNumberFormat="1" applyFont="1" applyFill="1" applyBorder="1" applyAlignment="1" applyProtection="1">
      <alignment vertical="center"/>
    </xf>
    <xf numFmtId="3" fontId="17" fillId="0" borderId="54" xfId="0" applyNumberFormat="1" applyFont="1" applyFill="1" applyBorder="1" applyAlignment="1" applyProtection="1">
      <alignment vertical="center"/>
    </xf>
    <xf numFmtId="3" fontId="15" fillId="0" borderId="4" xfId="0" applyNumberFormat="1" applyFont="1" applyFill="1" applyBorder="1" applyAlignment="1">
      <alignment vertical="center"/>
    </xf>
    <xf numFmtId="170" fontId="17" fillId="0" borderId="0" xfId="5" applyNumberFormat="1" applyFont="1" applyFill="1" applyAlignment="1">
      <alignment vertical="center"/>
    </xf>
    <xf numFmtId="170" fontId="16" fillId="0" borderId="0" xfId="5" applyNumberFormat="1" applyFont="1" applyFill="1" applyAlignment="1">
      <alignment vertical="center"/>
    </xf>
    <xf numFmtId="0" fontId="53" fillId="0" borderId="1" xfId="0" applyFont="1" applyBorder="1" applyAlignment="1" applyProtection="1">
      <alignment horizontal="left" vertical="center" wrapText="1"/>
      <protection locked="0"/>
    </xf>
    <xf numFmtId="4" fontId="64" fillId="19" borderId="0" xfId="0" quotePrefix="1" applyNumberFormat="1" applyFont="1" applyFill="1" applyBorder="1" applyAlignment="1">
      <alignment horizontal="right" vertical="center" wrapText="1"/>
    </xf>
    <xf numFmtId="0" fontId="63" fillId="0" borderId="7" xfId="5" applyFont="1" applyBorder="1" applyAlignment="1">
      <alignment horizontal="left" vertical="center"/>
    </xf>
    <xf numFmtId="0" fontId="63" fillId="0" borderId="88" xfId="5" applyFont="1" applyBorder="1" applyAlignment="1">
      <alignment horizontal="left" vertical="center"/>
    </xf>
    <xf numFmtId="49" fontId="101" fillId="0" borderId="53" xfId="5" applyNumberFormat="1" applyFont="1" applyFill="1" applyBorder="1" applyAlignment="1" applyProtection="1">
      <alignment horizontal="center" vertical="center"/>
    </xf>
    <xf numFmtId="0" fontId="101" fillId="0" borderId="53" xfId="5" applyFont="1" applyFill="1" applyBorder="1" applyAlignment="1" applyProtection="1">
      <alignment horizontal="right" vertical="center"/>
    </xf>
    <xf numFmtId="3" fontId="101" fillId="0" borderId="53" xfId="5" applyNumberFormat="1" applyFont="1" applyFill="1" applyBorder="1" applyAlignment="1" applyProtection="1">
      <alignment horizontal="center" vertical="center"/>
    </xf>
    <xf numFmtId="49" fontId="15" fillId="0" borderId="6" xfId="5" applyNumberFormat="1" applyFont="1" applyFill="1" applyBorder="1" applyAlignment="1" applyProtection="1">
      <alignment horizontal="center" vertical="center"/>
    </xf>
    <xf numFmtId="0" fontId="16" fillId="0" borderId="6" xfId="5" applyFont="1" applyFill="1" applyBorder="1" applyAlignment="1" applyProtection="1">
      <alignment vertical="center"/>
    </xf>
    <xf numFmtId="0" fontId="17" fillId="0" borderId="41" xfId="5" applyFont="1" applyFill="1" applyBorder="1" applyAlignment="1" applyProtection="1">
      <alignment horizontal="center" vertical="center"/>
    </xf>
    <xf numFmtId="167" fontId="101" fillId="0" borderId="53" xfId="5" applyNumberFormat="1" applyFont="1" applyFill="1" applyBorder="1" applyAlignment="1" applyProtection="1">
      <alignment horizontal="right" vertical="center"/>
    </xf>
    <xf numFmtId="49" fontId="28" fillId="0" borderId="1" xfId="5" applyNumberFormat="1" applyFont="1" applyFill="1" applyBorder="1" applyAlignment="1" applyProtection="1">
      <alignment horizontal="center" vertical="center"/>
    </xf>
    <xf numFmtId="3" fontId="28" fillId="0" borderId="1" xfId="5" applyNumberFormat="1" applyFont="1" applyFill="1" applyBorder="1" applyAlignment="1" applyProtection="1">
      <alignment horizontal="center" vertical="center"/>
    </xf>
    <xf numFmtId="167" fontId="28" fillId="0" borderId="1" xfId="5" applyNumberFormat="1" applyFont="1" applyFill="1" applyBorder="1" applyAlignment="1" applyProtection="1">
      <alignment horizontal="right" vertical="center"/>
    </xf>
    <xf numFmtId="167" fontId="28" fillId="21" borderId="1" xfId="5" applyNumberFormat="1" applyFont="1" applyFill="1" applyBorder="1" applyAlignment="1" applyProtection="1">
      <alignment horizontal="right" vertical="center"/>
    </xf>
    <xf numFmtId="49" fontId="28" fillId="0" borderId="6" xfId="5" applyNumberFormat="1" applyFont="1" applyFill="1" applyBorder="1" applyAlignment="1" applyProtection="1">
      <alignment horizontal="center" vertical="center"/>
    </xf>
    <xf numFmtId="3" fontId="28" fillId="0" borderId="6" xfId="5" applyNumberFormat="1" applyFont="1" applyFill="1" applyBorder="1" applyAlignment="1" applyProtection="1">
      <alignment horizontal="center" vertical="center"/>
    </xf>
    <xf numFmtId="49" fontId="28" fillId="0" borderId="11" xfId="5" applyNumberFormat="1" applyFont="1" applyFill="1" applyBorder="1" applyAlignment="1" applyProtection="1">
      <alignment horizontal="center" vertical="center"/>
    </xf>
    <xf numFmtId="167" fontId="28" fillId="21" borderId="11" xfId="5" applyNumberFormat="1" applyFont="1" applyFill="1" applyBorder="1" applyAlignment="1" applyProtection="1">
      <alignment horizontal="right" vertical="center"/>
    </xf>
    <xf numFmtId="167" fontId="28" fillId="21" borderId="6" xfId="5" applyNumberFormat="1" applyFont="1" applyFill="1" applyBorder="1" applyAlignment="1" applyProtection="1">
      <alignment horizontal="right" vertical="center"/>
    </xf>
    <xf numFmtId="167" fontId="28" fillId="0" borderId="6" xfId="5" applyNumberFormat="1" applyFont="1" applyFill="1" applyBorder="1" applyAlignment="1" applyProtection="1">
      <alignment horizontal="right" vertical="center"/>
    </xf>
    <xf numFmtId="167" fontId="17" fillId="0" borderId="53" xfId="5" applyNumberFormat="1" applyFont="1" applyFill="1" applyBorder="1" applyAlignment="1" applyProtection="1">
      <alignment horizontal="right" vertical="center"/>
    </xf>
    <xf numFmtId="167" fontId="16" fillId="0" borderId="75" xfId="5" applyNumberFormat="1" applyFont="1" applyFill="1" applyBorder="1" applyAlignment="1" applyProtection="1">
      <alignment horizontal="right" vertical="center"/>
    </xf>
    <xf numFmtId="49" fontId="28" fillId="0" borderId="75" xfId="5" applyNumberFormat="1" applyFont="1" applyFill="1" applyBorder="1" applyAlignment="1" applyProtection="1">
      <alignment horizontal="center" vertical="center"/>
    </xf>
    <xf numFmtId="3" fontId="28" fillId="0" borderId="75" xfId="5" applyNumberFormat="1" applyFont="1" applyFill="1" applyBorder="1" applyAlignment="1" applyProtection="1">
      <alignment horizontal="center" vertical="center"/>
    </xf>
    <xf numFmtId="167" fontId="28" fillId="0" borderId="75" xfId="5" applyNumberFormat="1" applyFont="1" applyFill="1" applyBorder="1" applyAlignment="1" applyProtection="1">
      <alignment horizontal="right" vertical="center"/>
    </xf>
    <xf numFmtId="167" fontId="28" fillId="21" borderId="75" xfId="5" applyNumberFormat="1" applyFont="1" applyFill="1" applyBorder="1" applyAlignment="1" applyProtection="1">
      <alignment horizontal="right" vertical="center"/>
    </xf>
    <xf numFmtId="167" fontId="28" fillId="0" borderId="11" xfId="5" applyNumberFormat="1" applyFont="1" applyFill="1" applyBorder="1" applyAlignment="1" applyProtection="1">
      <alignment horizontal="right" vertical="center"/>
    </xf>
    <xf numFmtId="167" fontId="28" fillId="27" borderId="1" xfId="5" applyNumberFormat="1" applyFont="1" applyFill="1" applyBorder="1" applyAlignment="1" applyProtection="1">
      <alignment horizontal="right" vertical="center"/>
    </xf>
    <xf numFmtId="0" fontId="28" fillId="27" borderId="1" xfId="5" applyFont="1" applyFill="1" applyBorder="1" applyAlignment="1" applyProtection="1">
      <alignment horizontal="right" vertical="center"/>
    </xf>
    <xf numFmtId="0" fontId="28" fillId="27" borderId="75" xfId="5" applyFont="1" applyFill="1" applyBorder="1" applyAlignment="1" applyProtection="1">
      <alignment horizontal="right" vertical="center"/>
    </xf>
    <xf numFmtId="0" fontId="28" fillId="27" borderId="11" xfId="5" applyFont="1" applyFill="1" applyBorder="1" applyAlignment="1" applyProtection="1">
      <alignment horizontal="right" vertical="center"/>
    </xf>
    <xf numFmtId="0" fontId="28" fillId="27" borderId="6" xfId="5" applyFont="1" applyFill="1" applyBorder="1" applyAlignment="1" applyProtection="1">
      <alignment horizontal="right" vertical="center"/>
    </xf>
    <xf numFmtId="0" fontId="15" fillId="0" borderId="6" xfId="5" applyFont="1" applyFill="1" applyBorder="1" applyAlignment="1" applyProtection="1">
      <alignment vertical="center"/>
    </xf>
    <xf numFmtId="3" fontId="16" fillId="0" borderId="6" xfId="5" applyNumberFormat="1" applyFont="1" applyFill="1" applyBorder="1" applyAlignment="1" applyProtection="1">
      <alignment horizontal="center" vertical="center"/>
    </xf>
    <xf numFmtId="3" fontId="16" fillId="21" borderId="6" xfId="5" applyNumberFormat="1" applyFont="1" applyFill="1" applyBorder="1" applyAlignment="1" applyProtection="1">
      <alignment horizontal="right" vertical="center"/>
    </xf>
    <xf numFmtId="3" fontId="15" fillId="0" borderId="6" xfId="5" applyNumberFormat="1" applyFont="1" applyFill="1" applyBorder="1" applyAlignment="1" applyProtection="1">
      <alignment horizontal="right" vertical="center" wrapText="1"/>
    </xf>
    <xf numFmtId="49" fontId="16" fillId="0" borderId="6" xfId="5" applyNumberFormat="1" applyFont="1" applyFill="1" applyBorder="1" applyAlignment="1" applyProtection="1">
      <alignment horizontal="center" vertical="center"/>
    </xf>
    <xf numFmtId="3" fontId="16" fillId="0" borderId="6" xfId="5" applyNumberFormat="1" applyFont="1" applyFill="1" applyBorder="1" applyAlignment="1" applyProtection="1">
      <alignment horizontal="left" vertical="center" wrapText="1"/>
    </xf>
    <xf numFmtId="3" fontId="13" fillId="0" borderId="53" xfId="5" applyNumberFormat="1" applyFont="1" applyFill="1" applyBorder="1" applyAlignment="1" applyProtection="1">
      <alignment horizontal="left" vertical="center" wrapText="1"/>
    </xf>
    <xf numFmtId="168" fontId="16" fillId="21" borderId="53" xfId="5" applyNumberFormat="1" applyFont="1" applyFill="1" applyBorder="1" applyAlignment="1">
      <alignment horizontal="right" vertical="center"/>
    </xf>
    <xf numFmtId="0" fontId="16" fillId="0" borderId="6" xfId="5" applyFont="1" applyFill="1" applyBorder="1" applyAlignment="1" applyProtection="1">
      <alignment vertical="center" wrapText="1"/>
    </xf>
    <xf numFmtId="0" fontId="16" fillId="0" borderId="6" xfId="5" applyFont="1" applyFill="1" applyBorder="1" applyAlignment="1" applyProtection="1">
      <alignment horizontal="center" vertical="center"/>
    </xf>
    <xf numFmtId="169" fontId="16" fillId="0" borderId="6" xfId="5" applyNumberFormat="1" applyFont="1" applyBorder="1" applyAlignment="1" applyProtection="1">
      <alignment horizontal="right" vertical="center"/>
    </xf>
    <xf numFmtId="0" fontId="15" fillId="0" borderId="6" xfId="5" applyFont="1" applyFill="1" applyBorder="1" applyAlignment="1" applyProtection="1">
      <alignment vertical="center" wrapText="1"/>
    </xf>
    <xf numFmtId="168" fontId="16" fillId="21" borderId="6" xfId="5" applyNumberFormat="1" applyFont="1" applyFill="1" applyBorder="1" applyAlignment="1">
      <alignment horizontal="right" vertical="center"/>
    </xf>
    <xf numFmtId="0" fontId="28" fillId="27" borderId="74" xfId="5" applyFont="1" applyFill="1" applyBorder="1" applyAlignment="1" applyProtection="1">
      <alignment horizontal="right" vertical="center"/>
    </xf>
    <xf numFmtId="3" fontId="28" fillId="0" borderId="74" xfId="5" applyNumberFormat="1" applyFont="1" applyFill="1" applyBorder="1" applyAlignment="1" applyProtection="1">
      <alignment horizontal="center" vertical="center"/>
    </xf>
    <xf numFmtId="167" fontId="28" fillId="0" borderId="74" xfId="5" applyNumberFormat="1" applyFont="1" applyFill="1" applyBorder="1" applyAlignment="1" applyProtection="1">
      <alignment horizontal="right" vertical="center"/>
    </xf>
    <xf numFmtId="167" fontId="28" fillId="21" borderId="74" xfId="5" applyNumberFormat="1" applyFont="1" applyFill="1" applyBorder="1" applyAlignment="1" applyProtection="1">
      <alignment horizontal="right" vertical="center"/>
    </xf>
    <xf numFmtId="0" fontId="46" fillId="0" borderId="20" xfId="0" applyFont="1" applyBorder="1" applyAlignment="1">
      <alignment horizontal="left" vertical="center"/>
    </xf>
    <xf numFmtId="168" fontId="46" fillId="0" borderId="20" xfId="0" applyNumberFormat="1" applyFont="1" applyBorder="1" applyAlignment="1">
      <alignment horizontal="right" vertical="center"/>
    </xf>
    <xf numFmtId="168" fontId="18" fillId="0" borderId="20" xfId="0" applyNumberFormat="1" applyFont="1" applyFill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46" fillId="0" borderId="20" xfId="0" applyFont="1" applyFill="1" applyBorder="1" applyAlignment="1">
      <alignment horizontal="left" vertical="center"/>
    </xf>
    <xf numFmtId="3" fontId="46" fillId="0" borderId="20" xfId="0" applyNumberFormat="1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/>
    </xf>
    <xf numFmtId="171" fontId="46" fillId="0" borderId="20" xfId="0" applyNumberFormat="1" applyFont="1" applyBorder="1" applyAlignment="1">
      <alignment horizontal="right" vertical="center"/>
    </xf>
    <xf numFmtId="3" fontId="31" fillId="19" borderId="0" xfId="0" applyNumberFormat="1" applyFont="1" applyFill="1" applyAlignment="1">
      <alignment horizontal="right" vertical="center"/>
    </xf>
    <xf numFmtId="168" fontId="16" fillId="0" borderId="0" xfId="0" applyNumberFormat="1" applyFont="1" applyAlignment="1">
      <alignment vertical="center"/>
    </xf>
    <xf numFmtId="0" fontId="16" fillId="0" borderId="0" xfId="5" applyFont="1" applyBorder="1" applyAlignment="1">
      <alignment horizontal="left" vertical="center"/>
    </xf>
    <xf numFmtId="3" fontId="17" fillId="19" borderId="47" xfId="4" applyNumberFormat="1" applyFont="1" applyFill="1" applyBorder="1" applyAlignment="1">
      <alignment horizontal="right" vertical="center"/>
    </xf>
    <xf numFmtId="3" fontId="17" fillId="19" borderId="48" xfId="4" applyNumberFormat="1" applyFont="1" applyFill="1" applyBorder="1" applyAlignment="1">
      <alignment horizontal="right" vertical="center"/>
    </xf>
    <xf numFmtId="3" fontId="17" fillId="19" borderId="138" xfId="4" applyNumberFormat="1" applyFont="1" applyFill="1" applyBorder="1" applyAlignment="1">
      <alignment horizontal="right" vertical="center"/>
    </xf>
    <xf numFmtId="3" fontId="17" fillId="19" borderId="1" xfId="4" applyNumberFormat="1" applyFont="1" applyFill="1" applyBorder="1" applyAlignment="1">
      <alignment horizontal="right" vertical="center"/>
    </xf>
    <xf numFmtId="3" fontId="17" fillId="19" borderId="6" xfId="4" applyNumberFormat="1" applyFont="1" applyFill="1" applyBorder="1" applyAlignment="1">
      <alignment horizontal="right" vertical="center"/>
    </xf>
    <xf numFmtId="3" fontId="17" fillId="19" borderId="8" xfId="4" applyNumberFormat="1" applyFont="1" applyFill="1" applyBorder="1" applyAlignment="1">
      <alignment horizontal="right" vertical="center"/>
    </xf>
    <xf numFmtId="3" fontId="17" fillId="19" borderId="136" xfId="4" applyNumberFormat="1" applyFont="1" applyFill="1" applyBorder="1" applyAlignment="1">
      <alignment horizontal="right" vertical="center"/>
    </xf>
    <xf numFmtId="4" fontId="17" fillId="0" borderId="1" xfId="5" applyNumberFormat="1" applyFont="1" applyFill="1" applyBorder="1" applyAlignment="1" applyProtection="1">
      <alignment horizontal="right" vertical="center"/>
    </xf>
    <xf numFmtId="3" fontId="16" fillId="0" borderId="6" xfId="5" applyNumberFormat="1" applyFont="1" applyFill="1" applyBorder="1" applyAlignment="1" applyProtection="1">
      <alignment horizontal="right" vertical="center"/>
    </xf>
    <xf numFmtId="0" fontId="16" fillId="0" borderId="0" xfId="5" applyFont="1" applyBorder="1" applyAlignment="1">
      <alignment horizontal="left" vertical="center"/>
    </xf>
    <xf numFmtId="3" fontId="16" fillId="27" borderId="77" xfId="5" applyNumberFormat="1" applyFont="1" applyFill="1" applyBorder="1" applyAlignment="1">
      <alignment horizontal="right" vertical="center"/>
    </xf>
    <xf numFmtId="3" fontId="16" fillId="27" borderId="75" xfId="5" applyNumberFormat="1" applyFont="1" applyFill="1" applyBorder="1" applyAlignment="1">
      <alignment horizontal="right" vertical="center"/>
    </xf>
    <xf numFmtId="0" fontId="16" fillId="26" borderId="9" xfId="5" applyFont="1" applyFill="1" applyBorder="1" applyAlignment="1">
      <alignment vertical="center"/>
    </xf>
    <xf numFmtId="0" fontId="16" fillId="26" borderId="10" xfId="5" applyFont="1" applyFill="1" applyBorder="1" applyAlignment="1">
      <alignment vertical="center"/>
    </xf>
    <xf numFmtId="0" fontId="16" fillId="26" borderId="46" xfId="5" applyFont="1" applyFill="1" applyBorder="1" applyAlignment="1">
      <alignment vertical="center"/>
    </xf>
    <xf numFmtId="0" fontId="16" fillId="0" borderId="61" xfId="5" applyFont="1" applyFill="1" applyBorder="1" applyAlignment="1">
      <alignment vertical="center" wrapText="1"/>
    </xf>
    <xf numFmtId="3" fontId="16" fillId="21" borderId="53" xfId="5" applyNumberFormat="1" applyFont="1" applyFill="1" applyBorder="1" applyAlignment="1">
      <alignment horizontal="right" vertical="center"/>
    </xf>
    <xf numFmtId="3" fontId="16" fillId="0" borderId="54" xfId="5" applyNumberFormat="1" applyFont="1" applyFill="1" applyBorder="1" applyAlignment="1">
      <alignment horizontal="right" vertical="center"/>
    </xf>
    <xf numFmtId="0" fontId="17" fillId="26" borderId="58" xfId="5" applyFont="1" applyFill="1" applyBorder="1" applyAlignment="1">
      <alignment vertical="center"/>
    </xf>
    <xf numFmtId="0" fontId="16" fillId="26" borderId="52" xfId="5" applyFont="1" applyFill="1" applyBorder="1" applyAlignment="1">
      <alignment vertical="center"/>
    </xf>
    <xf numFmtId="0" fontId="16" fillId="26" borderId="53" xfId="5" applyFont="1" applyFill="1" applyBorder="1" applyAlignment="1">
      <alignment vertical="center"/>
    </xf>
    <xf numFmtId="0" fontId="16" fillId="26" borderId="54" xfId="5" applyFont="1" applyFill="1" applyBorder="1" applyAlignment="1">
      <alignment vertical="center"/>
    </xf>
    <xf numFmtId="0" fontId="16" fillId="0" borderId="50" xfId="5" applyFont="1" applyFill="1" applyBorder="1" applyAlignment="1">
      <alignment vertical="center"/>
    </xf>
    <xf numFmtId="0" fontId="31" fillId="17" borderId="5" xfId="5" applyFont="1" applyFill="1" applyBorder="1" applyAlignment="1">
      <alignment horizontal="center" vertical="center"/>
    </xf>
    <xf numFmtId="0" fontId="31" fillId="17" borderId="6" xfId="5" applyFont="1" applyFill="1" applyBorder="1" applyAlignment="1">
      <alignment horizontal="center" vertical="center"/>
    </xf>
    <xf numFmtId="0" fontId="31" fillId="17" borderId="26" xfId="5" applyFont="1" applyFill="1" applyBorder="1" applyAlignment="1">
      <alignment horizontal="center" vertical="center" wrapText="1"/>
    </xf>
    <xf numFmtId="0" fontId="31" fillId="17" borderId="21" xfId="5" applyFont="1" applyFill="1" applyBorder="1" applyAlignment="1">
      <alignment horizontal="center" vertical="center"/>
    </xf>
    <xf numFmtId="0" fontId="31" fillId="17" borderId="59" xfId="5" applyFont="1" applyFill="1" applyBorder="1" applyAlignment="1">
      <alignment horizontal="center" vertical="center"/>
    </xf>
    <xf numFmtId="0" fontId="31" fillId="17" borderId="62" xfId="5" applyFont="1" applyFill="1" applyBorder="1" applyAlignment="1">
      <alignment horizontal="center" vertical="center" wrapText="1"/>
    </xf>
    <xf numFmtId="0" fontId="103" fillId="17" borderId="38" xfId="5" applyNumberFormat="1" applyFont="1" applyFill="1" applyBorder="1" applyAlignment="1">
      <alignment horizontal="center" vertical="center"/>
    </xf>
    <xf numFmtId="0" fontId="104" fillId="17" borderId="28" xfId="5" applyNumberFormat="1" applyFont="1" applyFill="1" applyBorder="1" applyAlignment="1">
      <alignment vertical="center"/>
    </xf>
    <xf numFmtId="0" fontId="104" fillId="17" borderId="39" xfId="5" applyNumberFormat="1" applyFont="1" applyFill="1" applyBorder="1" applyAlignment="1">
      <alignment vertical="center"/>
    </xf>
    <xf numFmtId="0" fontId="19" fillId="17" borderId="32" xfId="0" applyFont="1" applyFill="1" applyBorder="1" applyAlignment="1" applyProtection="1">
      <alignment horizontal="center" vertical="center" wrapText="1"/>
    </xf>
    <xf numFmtId="0" fontId="19" fillId="17" borderId="33" xfId="0" applyFont="1" applyFill="1" applyBorder="1" applyAlignment="1" applyProtection="1">
      <alignment horizontal="center" vertical="center" wrapText="1"/>
    </xf>
    <xf numFmtId="0" fontId="19" fillId="17" borderId="37" xfId="0" applyFont="1" applyFill="1" applyBorder="1" applyAlignment="1" applyProtection="1">
      <alignment horizontal="center" vertical="center" wrapText="1"/>
    </xf>
    <xf numFmtId="4" fontId="16" fillId="21" borderId="3" xfId="5" applyNumberFormat="1" applyFont="1" applyFill="1" applyBorder="1" applyAlignment="1">
      <alignment horizontal="right" vertical="center"/>
    </xf>
    <xf numFmtId="4" fontId="17" fillId="0" borderId="3" xfId="5" applyNumberFormat="1" applyFont="1" applyFill="1" applyBorder="1" applyAlignment="1">
      <alignment horizontal="right" vertical="center"/>
    </xf>
    <xf numFmtId="4" fontId="16" fillId="0" borderId="3" xfId="5" applyNumberFormat="1" applyFont="1" applyFill="1" applyBorder="1" applyAlignment="1">
      <alignment horizontal="right" vertical="center"/>
    </xf>
    <xf numFmtId="4" fontId="16" fillId="21" borderId="52" xfId="5" applyNumberFormat="1" applyFont="1" applyFill="1" applyBorder="1" applyAlignment="1">
      <alignment horizontal="right" vertical="center"/>
    </xf>
    <xf numFmtId="4" fontId="16" fillId="21" borderId="92" xfId="5" applyNumberFormat="1" applyFont="1" applyFill="1" applyBorder="1" applyAlignment="1">
      <alignment horizontal="right" vertical="center"/>
    </xf>
    <xf numFmtId="4" fontId="16" fillId="21" borderId="91" xfId="5" applyNumberFormat="1" applyFont="1" applyFill="1" applyBorder="1" applyAlignment="1">
      <alignment horizontal="right" vertical="center"/>
    </xf>
    <xf numFmtId="2" fontId="16" fillId="21" borderId="52" xfId="5" applyNumberFormat="1" applyFont="1" applyFill="1" applyBorder="1" applyAlignment="1">
      <alignment horizontal="right" vertical="center"/>
    </xf>
    <xf numFmtId="2" fontId="16" fillId="21" borderId="3" xfId="5" applyNumberFormat="1" applyFont="1" applyFill="1" applyBorder="1" applyAlignment="1">
      <alignment horizontal="right" vertical="center"/>
    </xf>
    <xf numFmtId="49" fontId="28" fillId="14" borderId="3" xfId="0" applyNumberFormat="1" applyFont="1" applyFill="1" applyBorder="1" applyAlignment="1" applyProtection="1">
      <alignment horizontal="left" vertical="center"/>
    </xf>
    <xf numFmtId="49" fontId="15" fillId="18" borderId="3" xfId="0" applyNumberFormat="1" applyFont="1" applyFill="1" applyBorder="1" applyAlignment="1" applyProtection="1">
      <alignment horizontal="left" vertical="center"/>
    </xf>
    <xf numFmtId="164" fontId="16" fillId="0" borderId="0" xfId="0" applyNumberFormat="1" applyFont="1" applyFill="1"/>
    <xf numFmtId="3" fontId="16" fillId="0" borderId="0" xfId="0" applyNumberFormat="1" applyFont="1" applyFill="1"/>
    <xf numFmtId="3" fontId="44" fillId="0" borderId="0" xfId="0" applyNumberFormat="1" applyFont="1" applyFill="1" applyAlignment="1" applyProtection="1">
      <alignment vertical="center"/>
    </xf>
    <xf numFmtId="3" fontId="100" fillId="0" borderId="0" xfId="0" applyNumberFormat="1" applyFont="1" applyFill="1" applyAlignment="1" applyProtection="1">
      <alignment vertical="center"/>
    </xf>
    <xf numFmtId="0" fontId="17" fillId="15" borderId="21" xfId="0" applyFont="1" applyFill="1" applyBorder="1" applyAlignment="1" applyProtection="1">
      <alignment horizontal="center" vertical="center"/>
    </xf>
    <xf numFmtId="0" fontId="17" fillId="15" borderId="67" xfId="0" applyFont="1" applyFill="1" applyBorder="1" applyAlignment="1" applyProtection="1">
      <alignment vertical="center"/>
    </xf>
    <xf numFmtId="3" fontId="17" fillId="15" borderId="21" xfId="0" applyNumberFormat="1" applyFont="1" applyFill="1" applyBorder="1" applyAlignment="1" applyProtection="1">
      <alignment vertical="center"/>
    </xf>
    <xf numFmtId="3" fontId="17" fillId="15" borderId="59" xfId="0" applyNumberFormat="1" applyFont="1" applyFill="1" applyBorder="1" applyAlignment="1" applyProtection="1">
      <alignment vertical="center"/>
    </xf>
    <xf numFmtId="0" fontId="17" fillId="26" borderId="14" xfId="5" applyFont="1" applyFill="1" applyBorder="1" applyAlignment="1">
      <alignment vertical="center" wrapText="1"/>
    </xf>
    <xf numFmtId="0" fontId="64" fillId="17" borderId="23" xfId="5" applyFont="1" applyFill="1" applyBorder="1" applyAlignment="1">
      <alignment horizontal="left" vertical="center"/>
    </xf>
    <xf numFmtId="0" fontId="64" fillId="17" borderId="59" xfId="5" applyFont="1" applyFill="1" applyBorder="1" applyAlignment="1">
      <alignment horizontal="center" vertical="center" wrapText="1"/>
    </xf>
    <xf numFmtId="0" fontId="64" fillId="17" borderId="67" xfId="5" applyFont="1" applyFill="1" applyBorder="1" applyAlignment="1">
      <alignment horizontal="center" vertical="center" wrapText="1"/>
    </xf>
    <xf numFmtId="0" fontId="64" fillId="17" borderId="0" xfId="5" applyFont="1" applyFill="1" applyBorder="1" applyAlignment="1">
      <alignment horizontal="left" vertical="center"/>
    </xf>
    <xf numFmtId="172" fontId="64" fillId="17" borderId="45" xfId="0" applyNumberFormat="1" applyFont="1" applyFill="1" applyBorder="1" applyAlignment="1">
      <alignment horizontal="center" vertical="center"/>
    </xf>
    <xf numFmtId="172" fontId="64" fillId="17" borderId="0" xfId="0" applyNumberFormat="1" applyFont="1" applyFill="1" applyBorder="1" applyAlignment="1">
      <alignment horizontal="center" vertical="center"/>
    </xf>
    <xf numFmtId="3" fontId="16" fillId="0" borderId="53" xfId="5" applyNumberFormat="1" applyFont="1" applyFill="1" applyBorder="1" applyAlignment="1">
      <alignment horizontal="right" vertical="center"/>
    </xf>
    <xf numFmtId="0" fontId="17" fillId="0" borderId="41" xfId="5" applyFont="1" applyFill="1" applyBorder="1" applyAlignment="1" applyProtection="1">
      <alignment horizontal="right" vertical="center"/>
    </xf>
    <xf numFmtId="3" fontId="15" fillId="27" borderId="1" xfId="0" applyNumberFormat="1" applyFont="1" applyFill="1" applyBorder="1" applyAlignment="1">
      <alignment vertical="center"/>
    </xf>
    <xf numFmtId="3" fontId="15" fillId="27" borderId="4" xfId="0" applyNumberFormat="1" applyFont="1" applyFill="1" applyBorder="1" applyAlignment="1">
      <alignment vertical="center"/>
    </xf>
    <xf numFmtId="3" fontId="15" fillId="27" borderId="1" xfId="0" applyNumberFormat="1" applyFont="1" applyFill="1" applyBorder="1" applyAlignment="1" applyProtection="1">
      <alignment vertical="center"/>
    </xf>
    <xf numFmtId="167" fontId="15" fillId="27" borderId="1" xfId="0" applyNumberFormat="1" applyFont="1" applyFill="1" applyBorder="1" applyAlignment="1" applyProtection="1">
      <alignment horizontal="center" vertical="center"/>
      <protection locked="0"/>
    </xf>
    <xf numFmtId="172" fontId="15" fillId="27" borderId="1" xfId="0" applyNumberFormat="1" applyFont="1" applyFill="1" applyBorder="1" applyAlignment="1" applyProtection="1">
      <alignment horizontal="center" vertical="center"/>
      <protection locked="0"/>
    </xf>
    <xf numFmtId="172" fontId="15" fillId="27" borderId="11" xfId="0" applyNumberFormat="1" applyFont="1" applyFill="1" applyBorder="1" applyAlignment="1" applyProtection="1">
      <alignment horizontal="center" vertical="center"/>
      <protection locked="0"/>
    </xf>
    <xf numFmtId="4" fontId="15" fillId="27" borderId="1" xfId="0" applyNumberFormat="1" applyFont="1" applyFill="1" applyBorder="1" applyAlignment="1" applyProtection="1">
      <alignment horizontal="center" vertical="center"/>
      <protection locked="0"/>
    </xf>
    <xf numFmtId="3" fontId="15" fillId="27" borderId="1" xfId="0" applyNumberFormat="1" applyFont="1" applyFill="1" applyBorder="1" applyAlignment="1" applyProtection="1">
      <alignment horizontal="center" vertical="center"/>
      <protection locked="0"/>
    </xf>
    <xf numFmtId="0" fontId="88" fillId="0" borderId="0" xfId="0" applyFont="1" applyFill="1"/>
    <xf numFmtId="0" fontId="53" fillId="0" borderId="17" xfId="0" applyFont="1" applyFill="1" applyBorder="1" applyAlignment="1" applyProtection="1">
      <alignment vertical="center"/>
    </xf>
    <xf numFmtId="0" fontId="16" fillId="0" borderId="47" xfId="0" applyFont="1" applyFill="1" applyBorder="1" applyAlignment="1" applyProtection="1">
      <alignment vertical="center"/>
    </xf>
    <xf numFmtId="0" fontId="64" fillId="0" borderId="6" xfId="0" applyFont="1" applyFill="1" applyBorder="1" applyAlignment="1">
      <alignment horizontal="center" vertical="center" wrapText="1"/>
    </xf>
    <xf numFmtId="0" fontId="64" fillId="0" borderId="53" xfId="0" applyFont="1" applyFill="1" applyBorder="1" applyAlignment="1">
      <alignment horizontal="center" vertical="center" wrapText="1"/>
    </xf>
    <xf numFmtId="0" fontId="66" fillId="0" borderId="41" xfId="0" applyFont="1" applyFill="1" applyBorder="1" applyAlignment="1">
      <alignment vertical="center"/>
    </xf>
    <xf numFmtId="0" fontId="66" fillId="0" borderId="42" xfId="0" applyFont="1" applyFill="1" applyBorder="1" applyAlignment="1">
      <alignment vertical="center"/>
    </xf>
    <xf numFmtId="0" fontId="69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0" fontId="55" fillId="17" borderId="32" xfId="0" applyFont="1" applyFill="1" applyBorder="1" applyAlignment="1">
      <alignment horizontal="center" vertical="center"/>
    </xf>
    <xf numFmtId="0" fontId="55" fillId="17" borderId="33" xfId="0" applyFont="1" applyFill="1" applyBorder="1" applyAlignment="1">
      <alignment horizontal="center" vertical="center"/>
    </xf>
    <xf numFmtId="0" fontId="55" fillId="17" borderId="108" xfId="0" applyFont="1" applyFill="1" applyBorder="1" applyAlignment="1">
      <alignment horizontal="center" vertical="center"/>
    </xf>
    <xf numFmtId="0" fontId="36" fillId="17" borderId="33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/>
    </xf>
    <xf numFmtId="3" fontId="6" fillId="27" borderId="3" xfId="0" applyNumberFormat="1" applyFont="1" applyFill="1" applyBorder="1" applyAlignment="1">
      <alignment vertical="center"/>
    </xf>
    <xf numFmtId="3" fontId="6" fillId="27" borderId="1" xfId="0" applyNumberFormat="1" applyFont="1" applyFill="1" applyBorder="1" applyAlignment="1">
      <alignment vertical="center"/>
    </xf>
    <xf numFmtId="3" fontId="6" fillId="27" borderId="7" xfId="0" applyNumberFormat="1" applyFont="1" applyFill="1" applyBorder="1" applyAlignment="1">
      <alignment vertical="center"/>
    </xf>
    <xf numFmtId="3" fontId="6" fillId="27" borderId="68" xfId="0" applyNumberFormat="1" applyFont="1" applyFill="1" applyBorder="1" applyAlignment="1">
      <alignment vertical="center"/>
    </xf>
    <xf numFmtId="3" fontId="6" fillId="27" borderId="52" xfId="0" applyNumberFormat="1" applyFont="1" applyFill="1" applyBorder="1" applyAlignment="1">
      <alignment vertical="center"/>
    </xf>
    <xf numFmtId="3" fontId="6" fillId="27" borderId="53" xfId="0" applyNumberFormat="1" applyFont="1" applyFill="1" applyBorder="1" applyAlignment="1">
      <alignment vertical="center"/>
    </xf>
    <xf numFmtId="3" fontId="6" fillId="27" borderId="82" xfId="0" applyNumberFormat="1" applyFont="1" applyFill="1" applyBorder="1" applyAlignment="1">
      <alignment vertical="center"/>
    </xf>
    <xf numFmtId="170" fontId="63" fillId="0" borderId="1" xfId="15" applyNumberFormat="1" applyFont="1" applyFill="1" applyBorder="1" applyAlignment="1">
      <alignment vertical="center"/>
    </xf>
    <xf numFmtId="168" fontId="6" fillId="0" borderId="53" xfId="0" applyNumberFormat="1" applyFont="1" applyFill="1" applyBorder="1" applyAlignment="1">
      <alignment horizontal="right" vertical="center"/>
    </xf>
    <xf numFmtId="168" fontId="63" fillId="27" borderId="4" xfId="0" applyNumberFormat="1" applyFont="1" applyFill="1" applyBorder="1" applyAlignment="1">
      <alignment horizontal="right" vertical="center" wrapText="1"/>
    </xf>
    <xf numFmtId="0" fontId="64" fillId="27" borderId="4" xfId="0" applyFont="1" applyFill="1" applyBorder="1" applyAlignment="1">
      <alignment horizontal="center" vertical="center" wrapText="1"/>
    </xf>
    <xf numFmtId="3" fontId="6" fillId="27" borderId="73" xfId="0" applyNumberFormat="1" applyFont="1" applyFill="1" applyBorder="1" applyAlignment="1">
      <alignment vertical="center"/>
    </xf>
    <xf numFmtId="3" fontId="6" fillId="27" borderId="101" xfId="0" applyNumberFormat="1" applyFont="1" applyFill="1" applyBorder="1" applyAlignment="1">
      <alignment vertical="center"/>
    </xf>
    <xf numFmtId="3" fontId="6" fillId="27" borderId="86" xfId="0" applyNumberFormat="1" applyFont="1" applyFill="1" applyBorder="1" applyAlignment="1">
      <alignment vertical="center"/>
    </xf>
    <xf numFmtId="0" fontId="65" fillId="0" borderId="0" xfId="0" applyNumberFormat="1" applyFont="1" applyAlignment="1">
      <alignment horizontal="right" vertical="center"/>
    </xf>
    <xf numFmtId="168" fontId="63" fillId="0" borderId="0" xfId="0" applyNumberFormat="1" applyFont="1" applyAlignment="1">
      <alignment vertical="center"/>
    </xf>
    <xf numFmtId="3" fontId="6" fillId="27" borderId="91" xfId="0" applyNumberFormat="1" applyFont="1" applyFill="1" applyBorder="1" applyAlignment="1">
      <alignment vertical="center"/>
    </xf>
    <xf numFmtId="3" fontId="6" fillId="27" borderId="75" xfId="0" applyNumberFormat="1" applyFont="1" applyFill="1" applyBorder="1" applyAlignment="1">
      <alignment vertical="center"/>
    </xf>
    <xf numFmtId="3" fontId="6" fillId="27" borderId="88" xfId="0" applyNumberFormat="1" applyFont="1" applyFill="1" applyBorder="1" applyAlignment="1">
      <alignment vertical="center"/>
    </xf>
    <xf numFmtId="3" fontId="6" fillId="27" borderId="110" xfId="0" applyNumberFormat="1" applyFont="1" applyFill="1" applyBorder="1" applyAlignment="1">
      <alignment vertical="center"/>
    </xf>
    <xf numFmtId="3" fontId="6" fillId="27" borderId="93" xfId="0" applyNumberFormat="1" applyFont="1" applyFill="1" applyBorder="1" applyAlignment="1">
      <alignment vertical="center"/>
    </xf>
    <xf numFmtId="170" fontId="63" fillId="0" borderId="75" xfId="15" applyNumberFormat="1" applyFont="1" applyFill="1" applyBorder="1" applyAlignment="1">
      <alignment vertical="center"/>
    </xf>
    <xf numFmtId="168" fontId="6" fillId="0" borderId="75" xfId="0" applyNumberFormat="1" applyFont="1" applyFill="1" applyBorder="1" applyAlignment="1">
      <alignment horizontal="right" vertical="center"/>
    </xf>
    <xf numFmtId="168" fontId="63" fillId="27" borderId="76" xfId="0" applyNumberFormat="1" applyFont="1" applyFill="1" applyBorder="1" applyAlignment="1">
      <alignment horizontal="right" vertical="center" wrapText="1"/>
    </xf>
    <xf numFmtId="3" fontId="6" fillId="27" borderId="84" xfId="0" applyNumberFormat="1" applyFont="1" applyFill="1" applyBorder="1" applyAlignment="1">
      <alignment vertical="center"/>
    </xf>
    <xf numFmtId="170" fontId="63" fillId="0" borderId="53" xfId="15" applyNumberFormat="1" applyFont="1" applyFill="1" applyBorder="1" applyAlignment="1">
      <alignment vertical="center"/>
    </xf>
    <xf numFmtId="168" fontId="63" fillId="27" borderId="54" xfId="0" applyNumberFormat="1" applyFont="1" applyFill="1" applyBorder="1" applyAlignment="1">
      <alignment horizontal="right" vertical="center" wrapText="1"/>
    </xf>
    <xf numFmtId="0" fontId="63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3" fontId="6" fillId="0" borderId="29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55" fillId="0" borderId="12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4" fontId="65" fillId="0" borderId="0" xfId="0" applyNumberFormat="1" applyFont="1" applyFill="1" applyBorder="1" applyAlignment="1">
      <alignment horizontal="right" vertical="center"/>
    </xf>
    <xf numFmtId="0" fontId="35" fillId="0" borderId="0" xfId="0" applyFont="1"/>
    <xf numFmtId="0" fontId="64" fillId="0" borderId="0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173" fontId="63" fillId="0" borderId="80" xfId="0" applyNumberFormat="1" applyFont="1" applyFill="1" applyBorder="1" applyAlignment="1">
      <alignment vertical="center"/>
    </xf>
    <xf numFmtId="173" fontId="63" fillId="0" borderId="6" xfId="0" applyNumberFormat="1" applyFont="1" applyFill="1" applyBorder="1" applyAlignment="1">
      <alignment vertical="center"/>
    </xf>
    <xf numFmtId="170" fontId="63" fillId="0" borderId="6" xfId="15" applyNumberFormat="1" applyFont="1" applyFill="1" applyBorder="1" applyAlignment="1">
      <alignment vertical="center"/>
    </xf>
    <xf numFmtId="173" fontId="63" fillId="0" borderId="109" xfId="0" applyNumberFormat="1" applyFont="1" applyFill="1" applyBorder="1" applyAlignment="1">
      <alignment vertical="center"/>
    </xf>
    <xf numFmtId="0" fontId="63" fillId="0" borderId="6" xfId="0" applyFont="1" applyFill="1" applyBorder="1" applyAlignment="1">
      <alignment horizontal="left" vertical="center"/>
    </xf>
    <xf numFmtId="0" fontId="63" fillId="0" borderId="8" xfId="0" applyFont="1" applyFill="1" applyBorder="1" applyAlignment="1">
      <alignment vertical="center" wrapText="1"/>
    </xf>
    <xf numFmtId="0" fontId="64" fillId="0" borderId="6" xfId="0" applyFont="1" applyFill="1" applyBorder="1" applyAlignment="1">
      <alignment vertical="center" wrapText="1"/>
    </xf>
    <xf numFmtId="3" fontId="9" fillId="27" borderId="3" xfId="0" applyNumberFormat="1" applyFont="1" applyFill="1" applyBorder="1" applyAlignment="1">
      <alignment vertical="center"/>
    </xf>
    <xf numFmtId="3" fontId="9" fillId="27" borderId="1" xfId="0" applyNumberFormat="1" applyFont="1" applyFill="1" applyBorder="1" applyAlignment="1">
      <alignment vertical="center"/>
    </xf>
    <xf numFmtId="3" fontId="8" fillId="27" borderId="1" xfId="0" applyNumberFormat="1" applyFont="1" applyFill="1" applyBorder="1" applyAlignment="1">
      <alignment vertical="center"/>
    </xf>
    <xf numFmtId="3" fontId="9" fillId="27" borderId="17" xfId="0" applyNumberFormat="1" applyFont="1" applyFill="1" applyBorder="1" applyAlignment="1">
      <alignment vertical="center"/>
    </xf>
    <xf numFmtId="3" fontId="9" fillId="27" borderId="91" xfId="0" applyNumberFormat="1" applyFont="1" applyFill="1" applyBorder="1" applyAlignment="1">
      <alignment vertical="center"/>
    </xf>
    <xf numFmtId="3" fontId="9" fillId="27" borderId="75" xfId="0" applyNumberFormat="1" applyFont="1" applyFill="1" applyBorder="1" applyAlignment="1">
      <alignment vertical="center"/>
    </xf>
    <xf numFmtId="3" fontId="9" fillId="27" borderId="52" xfId="0" applyNumberFormat="1" applyFont="1" applyFill="1" applyBorder="1" applyAlignment="1">
      <alignment vertical="center"/>
    </xf>
    <xf numFmtId="3" fontId="9" fillId="27" borderId="53" xfId="0" applyNumberFormat="1" applyFont="1" applyFill="1" applyBorder="1" applyAlignment="1">
      <alignment vertical="center"/>
    </xf>
    <xf numFmtId="3" fontId="7" fillId="27" borderId="1" xfId="0" quotePrefix="1" applyNumberFormat="1" applyFont="1" applyFill="1" applyBorder="1" applyAlignment="1">
      <alignment horizontal="right" vertical="center"/>
    </xf>
    <xf numFmtId="3" fontId="9" fillId="27" borderId="1" xfId="0" applyNumberFormat="1" applyFont="1" applyFill="1" applyBorder="1" applyAlignment="1">
      <alignment horizontal="right" vertical="center"/>
    </xf>
    <xf numFmtId="0" fontId="64" fillId="27" borderId="101" xfId="0" applyFont="1" applyFill="1" applyBorder="1" applyAlignment="1">
      <alignment horizontal="center" vertical="center" wrapText="1"/>
    </xf>
    <xf numFmtId="0" fontId="64" fillId="27" borderId="68" xfId="0" applyFont="1" applyFill="1" applyBorder="1" applyAlignment="1">
      <alignment horizontal="center" vertical="center" wrapText="1"/>
    </xf>
    <xf numFmtId="0" fontId="64" fillId="27" borderId="110" xfId="0" applyFont="1" applyFill="1" applyBorder="1" applyAlignment="1">
      <alignment horizontal="center" vertical="center" wrapText="1"/>
    </xf>
    <xf numFmtId="3" fontId="9" fillId="27" borderId="73" xfId="0" applyNumberFormat="1" applyFont="1" applyFill="1" applyBorder="1" applyAlignment="1">
      <alignment vertical="center"/>
    </xf>
    <xf numFmtId="3" fontId="9" fillId="27" borderId="54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left"/>
    </xf>
    <xf numFmtId="168" fontId="6" fillId="0" borderId="1" xfId="0" applyNumberFormat="1" applyFont="1" applyFill="1" applyBorder="1" applyAlignment="1">
      <alignment horizontal="right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25" xfId="0" applyFont="1" applyBorder="1" applyAlignment="1">
      <alignment horizontal="center" vertical="center" wrapText="1"/>
    </xf>
    <xf numFmtId="0" fontId="63" fillId="0" borderId="53" xfId="0" quotePrefix="1" applyFont="1" applyBorder="1" applyAlignment="1">
      <alignment horizontal="center" vertical="center"/>
    </xf>
    <xf numFmtId="174" fontId="63" fillId="0" borderId="63" xfId="0" applyNumberFormat="1" applyFont="1" applyBorder="1" applyAlignment="1">
      <alignment horizontal="right" vertical="center"/>
    </xf>
    <xf numFmtId="0" fontId="63" fillId="0" borderId="53" xfId="0" quotePrefix="1" applyFont="1" applyFill="1" applyBorder="1" applyAlignment="1">
      <alignment horizontal="center" vertical="center"/>
    </xf>
    <xf numFmtId="49" fontId="63" fillId="0" borderId="1" xfId="0" applyNumberFormat="1" applyFont="1" applyBorder="1" applyAlignment="1">
      <alignment vertical="center"/>
    </xf>
    <xf numFmtId="174" fontId="63" fillId="0" borderId="1" xfId="0" applyNumberFormat="1" applyFont="1" applyBorder="1" applyAlignment="1">
      <alignment horizontal="right" vertical="center"/>
    </xf>
    <xf numFmtId="0" fontId="55" fillId="0" borderId="0" xfId="0" applyFont="1" applyAlignment="1">
      <alignment horizontal="right" vertical="center"/>
    </xf>
    <xf numFmtId="2" fontId="55" fillId="0" borderId="43" xfId="0" applyNumberFormat="1" applyFont="1" applyFill="1" applyBorder="1" applyAlignment="1">
      <alignment horizontal="right" vertical="center"/>
    </xf>
    <xf numFmtId="174" fontId="55" fillId="19" borderId="0" xfId="0" applyNumberFormat="1" applyFont="1" applyFill="1" applyBorder="1" applyAlignment="1">
      <alignment horizontal="right" vertical="center"/>
    </xf>
    <xf numFmtId="0" fontId="106" fillId="0" borderId="0" xfId="0" applyFont="1"/>
    <xf numFmtId="2" fontId="35" fillId="0" borderId="0" xfId="0" applyNumberFormat="1" applyFont="1"/>
    <xf numFmtId="3" fontId="6" fillId="0" borderId="98" xfId="0" applyNumberFormat="1" applyFont="1" applyFill="1" applyBorder="1" applyAlignment="1">
      <alignment vertical="center"/>
    </xf>
    <xf numFmtId="10" fontId="64" fillId="19" borderId="45" xfId="15" applyNumberFormat="1" applyFont="1" applyFill="1" applyBorder="1" applyAlignment="1">
      <alignment horizontal="center" vertical="center"/>
    </xf>
    <xf numFmtId="0" fontId="15" fillId="0" borderId="1" xfId="5" applyFont="1" applyFill="1" applyBorder="1" applyAlignment="1" applyProtection="1">
      <alignment horizontal="right" vertical="center"/>
    </xf>
    <xf numFmtId="3" fontId="16" fillId="0" borderId="1" xfId="5" quotePrefix="1" applyNumberFormat="1" applyFont="1" applyFill="1" applyBorder="1" applyAlignment="1" applyProtection="1">
      <alignment horizontal="right" vertical="center"/>
    </xf>
    <xf numFmtId="170" fontId="16" fillId="0" borderId="1" xfId="12" applyNumberFormat="1" applyFont="1" applyFill="1" applyBorder="1" applyAlignment="1" applyProtection="1">
      <alignment horizontal="right" vertical="center"/>
    </xf>
    <xf numFmtId="3" fontId="5" fillId="27" borderId="53" xfId="0" quotePrefix="1" applyNumberFormat="1" applyFont="1" applyFill="1" applyBorder="1" applyAlignment="1">
      <alignment horizontal="right" vertical="center"/>
    </xf>
    <xf numFmtId="3" fontId="5" fillId="27" borderId="1" xfId="0" applyNumberFormat="1" applyFont="1" applyFill="1" applyBorder="1" applyAlignment="1">
      <alignment vertical="center"/>
    </xf>
    <xf numFmtId="3" fontId="5" fillId="27" borderId="1" xfId="0" quotePrefix="1" applyNumberFormat="1" applyFont="1" applyFill="1" applyBorder="1" applyAlignment="1">
      <alignment horizontal="right" vertical="center"/>
    </xf>
    <xf numFmtId="3" fontId="17" fillId="0" borderId="1" xfId="5" applyNumberFormat="1" applyFont="1" applyFill="1" applyBorder="1" applyAlignment="1">
      <alignment horizontal="center" vertical="center"/>
    </xf>
    <xf numFmtId="4" fontId="17" fillId="0" borderId="53" xfId="5" applyNumberFormat="1" applyFont="1" applyFill="1" applyBorder="1" applyAlignment="1" applyProtection="1">
      <alignment horizontal="right" vertical="center"/>
    </xf>
    <xf numFmtId="3" fontId="16" fillId="0" borderId="53" xfId="5" applyNumberFormat="1" applyFont="1" applyFill="1" applyBorder="1" applyAlignment="1" applyProtection="1">
      <alignment horizontal="right" vertical="center"/>
    </xf>
    <xf numFmtId="49" fontId="13" fillId="0" borderId="1" xfId="5" applyNumberFormat="1" applyFont="1" applyFill="1" applyBorder="1" applyAlignment="1" applyProtection="1">
      <alignment horizontal="center" vertical="center"/>
    </xf>
    <xf numFmtId="3" fontId="17" fillId="0" borderId="1" xfId="5" applyNumberFormat="1" applyFont="1" applyFill="1" applyBorder="1" applyAlignment="1" applyProtection="1">
      <alignment horizontal="center" vertical="center"/>
    </xf>
    <xf numFmtId="3" fontId="6" fillId="27" borderId="44" xfId="0" applyNumberFormat="1" applyFont="1" applyFill="1" applyBorder="1" applyAlignment="1">
      <alignment vertical="center"/>
    </xf>
    <xf numFmtId="168" fontId="6" fillId="27" borderId="53" xfId="0" applyNumberFormat="1" applyFont="1" applyFill="1" applyBorder="1" applyAlignment="1">
      <alignment horizontal="right" vertical="center"/>
    </xf>
    <xf numFmtId="170" fontId="64" fillId="19" borderId="73" xfId="15" applyNumberFormat="1" applyFont="1" applyFill="1" applyBorder="1" applyAlignment="1">
      <alignment vertical="center"/>
    </xf>
    <xf numFmtId="170" fontId="64" fillId="19" borderId="53" xfId="15" applyNumberFormat="1" applyFont="1" applyFill="1" applyBorder="1" applyAlignment="1">
      <alignment vertical="center"/>
    </xf>
    <xf numFmtId="170" fontId="65" fillId="0" borderId="0" xfId="0" applyNumberFormat="1" applyFont="1" applyAlignment="1">
      <alignment vertical="center"/>
    </xf>
    <xf numFmtId="0" fontId="16" fillId="0" borderId="0" xfId="5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wrapText="1"/>
    </xf>
    <xf numFmtId="3" fontId="6" fillId="27" borderId="28" xfId="0" applyNumberFormat="1" applyFont="1" applyFill="1" applyBorder="1" applyAlignment="1">
      <alignment vertical="center"/>
    </xf>
    <xf numFmtId="3" fontId="6" fillId="27" borderId="16" xfId="0" applyNumberFormat="1" applyFont="1" applyFill="1" applyBorder="1" applyAlignment="1">
      <alignment vertical="center"/>
    </xf>
    <xf numFmtId="3" fontId="6" fillId="27" borderId="115" xfId="0" applyNumberFormat="1" applyFont="1" applyFill="1" applyBorder="1" applyAlignment="1">
      <alignment vertical="center"/>
    </xf>
    <xf numFmtId="3" fontId="63" fillId="0" borderId="0" xfId="0" applyNumberFormat="1" applyFont="1" applyAlignment="1">
      <alignment vertical="center"/>
    </xf>
    <xf numFmtId="0" fontId="16" fillId="0" borderId="0" xfId="9" applyFont="1" applyAlignment="1">
      <alignment vertical="center"/>
    </xf>
    <xf numFmtId="0" fontId="16" fillId="0" borderId="0" xfId="9" applyFont="1" applyBorder="1" applyAlignment="1">
      <alignment vertical="center"/>
    </xf>
    <xf numFmtId="0" fontId="75" fillId="17" borderId="32" xfId="0" applyFont="1" applyFill="1" applyBorder="1" applyAlignment="1" applyProtection="1">
      <alignment horizontal="center" vertical="center" wrapText="1"/>
    </xf>
    <xf numFmtId="0" fontId="75" fillId="17" borderId="33" xfId="0" applyFont="1" applyFill="1" applyBorder="1" applyAlignment="1" applyProtection="1">
      <alignment horizontal="center" vertical="center" wrapText="1"/>
    </xf>
    <xf numFmtId="0" fontId="75" fillId="17" borderId="37" xfId="9" applyFont="1" applyFill="1" applyBorder="1" applyAlignment="1">
      <alignment horizontal="center" vertical="center" wrapText="1"/>
    </xf>
    <xf numFmtId="0" fontId="75" fillId="17" borderId="51" xfId="9" applyFont="1" applyFill="1" applyBorder="1" applyAlignment="1">
      <alignment horizontal="center" vertical="center" wrapText="1"/>
    </xf>
    <xf numFmtId="0" fontId="75" fillId="17" borderId="41" xfId="9" applyFont="1" applyFill="1" applyBorder="1" applyAlignment="1">
      <alignment horizontal="center" vertical="center" wrapText="1"/>
    </xf>
    <xf numFmtId="0" fontId="75" fillId="17" borderId="40" xfId="9" applyFont="1" applyFill="1" applyBorder="1" applyAlignment="1">
      <alignment horizontal="center" vertical="center" wrapText="1"/>
    </xf>
    <xf numFmtId="0" fontId="32" fillId="0" borderId="0" xfId="9" applyFont="1" applyAlignment="1">
      <alignment horizontal="left" vertical="center"/>
    </xf>
    <xf numFmtId="0" fontId="16" fillId="0" borderId="15" xfId="9" applyFont="1" applyFill="1" applyBorder="1" applyAlignment="1">
      <alignment vertical="center"/>
    </xf>
    <xf numFmtId="3" fontId="16" fillId="0" borderId="3" xfId="9" applyNumberFormat="1" applyFont="1" applyFill="1" applyBorder="1" applyAlignment="1">
      <alignment vertical="center"/>
    </xf>
    <xf numFmtId="3" fontId="16" fillId="0" borderId="1" xfId="9" applyNumberFormat="1" applyFont="1" applyFill="1" applyBorder="1" applyAlignment="1">
      <alignment vertical="center"/>
    </xf>
    <xf numFmtId="3" fontId="16" fillId="0" borderId="7" xfId="9" applyNumberFormat="1" applyFont="1" applyFill="1" applyBorder="1" applyAlignment="1">
      <alignment vertical="center"/>
    </xf>
    <xf numFmtId="3" fontId="16" fillId="0" borderId="4" xfId="9" applyNumberFormat="1" applyFont="1" applyFill="1" applyBorder="1" applyAlignment="1">
      <alignment vertical="center"/>
    </xf>
    <xf numFmtId="3" fontId="16" fillId="13" borderId="15" xfId="9" applyNumberFormat="1" applyFont="1" applyFill="1" applyBorder="1" applyAlignment="1">
      <alignment vertical="center"/>
    </xf>
    <xf numFmtId="3" fontId="16" fillId="0" borderId="58" xfId="9" applyNumberFormat="1" applyFont="1" applyFill="1" applyBorder="1" applyAlignment="1">
      <alignment vertical="center"/>
    </xf>
    <xf numFmtId="4" fontId="17" fillId="13" borderId="61" xfId="9" applyNumberFormat="1" applyFont="1" applyFill="1" applyBorder="1" applyAlignment="1">
      <alignment vertical="center"/>
    </xf>
    <xf numFmtId="0" fontId="16" fillId="0" borderId="4" xfId="9" applyFont="1" applyFill="1" applyBorder="1" applyAlignment="1">
      <alignment horizontal="center" vertical="center"/>
    </xf>
    <xf numFmtId="0" fontId="16" fillId="0" borderId="15" xfId="9" applyFont="1" applyFill="1" applyBorder="1" applyAlignment="1">
      <alignment vertical="center" wrapText="1"/>
    </xf>
    <xf numFmtId="3" fontId="16" fillId="0" borderId="17" xfId="9" applyNumberFormat="1" applyFont="1" applyFill="1" applyBorder="1" applyAlignment="1">
      <alignment vertical="center"/>
    </xf>
    <xf numFmtId="0" fontId="17" fillId="0" borderId="12" xfId="9" applyFont="1" applyFill="1" applyBorder="1" applyAlignment="1">
      <alignment vertical="center"/>
    </xf>
    <xf numFmtId="3" fontId="17" fillId="0" borderId="21" xfId="9" applyNumberFormat="1" applyFont="1" applyFill="1" applyBorder="1" applyAlignment="1">
      <alignment vertical="center"/>
    </xf>
    <xf numFmtId="3" fontId="17" fillId="0" borderId="59" xfId="9" applyNumberFormat="1" applyFont="1" applyFill="1" applyBorder="1" applyAlignment="1">
      <alignment vertical="center"/>
    </xf>
    <xf numFmtId="3" fontId="17" fillId="0" borderId="22" xfId="9" applyNumberFormat="1" applyFont="1" applyFill="1" applyBorder="1" applyAlignment="1">
      <alignment vertical="center"/>
    </xf>
    <xf numFmtId="3" fontId="17" fillId="0" borderId="62" xfId="9" applyNumberFormat="1" applyFont="1" applyFill="1" applyBorder="1" applyAlignment="1">
      <alignment vertical="center"/>
    </xf>
    <xf numFmtId="3" fontId="17" fillId="13" borderId="12" xfId="9" applyNumberFormat="1" applyFont="1" applyFill="1" applyBorder="1" applyAlignment="1">
      <alignment vertical="center"/>
    </xf>
    <xf numFmtId="3" fontId="17" fillId="0" borderId="23" xfId="9" applyNumberFormat="1" applyFont="1" applyFill="1" applyBorder="1" applyAlignment="1">
      <alignment vertical="center"/>
    </xf>
    <xf numFmtId="3" fontId="17" fillId="13" borderId="21" xfId="9" applyNumberFormat="1" applyFont="1" applyFill="1" applyBorder="1" applyAlignment="1">
      <alignment vertical="center"/>
    </xf>
    <xf numFmtId="4" fontId="17" fillId="13" borderId="23" xfId="9" applyNumberFormat="1" applyFont="1" applyFill="1" applyBorder="1" applyAlignment="1">
      <alignment vertical="center"/>
    </xf>
    <xf numFmtId="3" fontId="17" fillId="0" borderId="62" xfId="9" quotePrefix="1" applyNumberFormat="1" applyFont="1" applyFill="1" applyBorder="1" applyAlignment="1">
      <alignment horizontal="center" vertical="center"/>
    </xf>
    <xf numFmtId="0" fontId="16" fillId="0" borderId="0" xfId="9" applyFont="1" applyFill="1" applyAlignment="1">
      <alignment vertical="center"/>
    </xf>
    <xf numFmtId="0" fontId="32" fillId="0" borderId="0" xfId="9" applyFont="1" applyFill="1" applyBorder="1" applyAlignment="1">
      <alignment horizontal="right" vertical="center"/>
    </xf>
    <xf numFmtId="3" fontId="32" fillId="0" borderId="0" xfId="9" applyNumberFormat="1" applyFont="1" applyFill="1" applyBorder="1" applyAlignment="1">
      <alignment vertical="center"/>
    </xf>
    <xf numFmtId="0" fontId="76" fillId="0" borderId="0" xfId="9" applyFont="1" applyAlignment="1">
      <alignment vertical="center"/>
    </xf>
    <xf numFmtId="3" fontId="16" fillId="0" borderId="0" xfId="9" applyNumberFormat="1" applyFont="1" applyAlignment="1">
      <alignment vertical="center"/>
    </xf>
    <xf numFmtId="0" fontId="17" fillId="0" borderId="0" xfId="9" applyFont="1" applyBorder="1" applyAlignment="1">
      <alignment vertical="center"/>
    </xf>
    <xf numFmtId="0" fontId="16" fillId="0" borderId="0" xfId="9" applyFont="1" applyBorder="1" applyAlignment="1">
      <alignment horizontal="center" vertical="center"/>
    </xf>
    <xf numFmtId="0" fontId="16" fillId="0" borderId="69" xfId="9" applyFont="1" applyFill="1" applyBorder="1" applyAlignment="1">
      <alignment horizontal="center" vertical="center" wrapText="1"/>
    </xf>
    <xf numFmtId="0" fontId="16" fillId="0" borderId="34" xfId="9" applyFont="1" applyFill="1" applyBorder="1" applyAlignment="1">
      <alignment horizontal="center" vertical="center" wrapText="1"/>
    </xf>
    <xf numFmtId="0" fontId="16" fillId="0" borderId="57" xfId="9" applyFont="1" applyFill="1" applyBorder="1" applyAlignment="1">
      <alignment horizontal="center" vertical="center" wrapText="1"/>
    </xf>
    <xf numFmtId="0" fontId="32" fillId="0" borderId="0" xfId="9" applyFont="1" applyFill="1" applyBorder="1" applyAlignment="1">
      <alignment horizontal="center" vertical="center" wrapText="1"/>
    </xf>
    <xf numFmtId="0" fontId="16" fillId="17" borderId="5" xfId="9" applyFont="1" applyFill="1" applyBorder="1" applyAlignment="1">
      <alignment horizontal="center" vertical="center" wrapText="1"/>
    </xf>
    <xf numFmtId="0" fontId="16" fillId="17" borderId="26" xfId="9" applyFont="1" applyFill="1" applyBorder="1" applyAlignment="1">
      <alignment horizontal="center" vertical="center" wrapText="1"/>
    </xf>
    <xf numFmtId="3" fontId="32" fillId="0" borderId="0" xfId="9" applyNumberFormat="1" applyFont="1" applyBorder="1" applyAlignment="1">
      <alignment horizontal="left" vertical="center"/>
    </xf>
    <xf numFmtId="0" fontId="16" fillId="0" borderId="0" xfId="9" applyFont="1" applyFill="1" applyBorder="1" applyAlignment="1">
      <alignment vertical="center" wrapText="1"/>
    </xf>
    <xf numFmtId="170" fontId="77" fillId="0" borderId="0" xfId="9" applyNumberFormat="1" applyFont="1" applyFill="1" applyBorder="1" applyAlignment="1">
      <alignment vertical="center"/>
    </xf>
    <xf numFmtId="3" fontId="16" fillId="0" borderId="45" xfId="9" applyNumberFormat="1" applyFont="1" applyFill="1" applyBorder="1" applyAlignment="1">
      <alignment vertical="center"/>
    </xf>
    <xf numFmtId="170" fontId="77" fillId="0" borderId="79" xfId="9" applyNumberFormat="1" applyFont="1" applyFill="1" applyBorder="1" applyAlignment="1">
      <alignment horizontal="center" vertical="center"/>
    </xf>
    <xf numFmtId="170" fontId="77" fillId="0" borderId="81" xfId="9" applyNumberFormat="1" applyFont="1" applyFill="1" applyBorder="1" applyAlignment="1">
      <alignment horizontal="center" vertical="center"/>
    </xf>
    <xf numFmtId="170" fontId="32" fillId="0" borderId="0" xfId="9" applyNumberFormat="1" applyFont="1" applyFill="1" applyBorder="1" applyAlignment="1">
      <alignment horizontal="center" vertical="center"/>
    </xf>
    <xf numFmtId="10" fontId="32" fillId="0" borderId="0" xfId="14" applyNumberFormat="1" applyFont="1" applyFill="1" applyBorder="1" applyAlignment="1">
      <alignment horizontal="left" vertical="center"/>
    </xf>
    <xf numFmtId="170" fontId="78" fillId="0" borderId="0" xfId="14" applyNumberFormat="1" applyFont="1" applyFill="1" applyBorder="1" applyAlignment="1">
      <alignment horizontal="right" vertical="center"/>
    </xf>
    <xf numFmtId="168" fontId="32" fillId="0" borderId="0" xfId="9" applyNumberFormat="1" applyFont="1" applyFill="1" applyBorder="1" applyAlignment="1">
      <alignment horizontal="left" vertical="center"/>
    </xf>
    <xf numFmtId="170" fontId="77" fillId="0" borderId="38" xfId="9" applyNumberFormat="1" applyFont="1" applyFill="1" applyBorder="1" applyAlignment="1">
      <alignment horizontal="center" vertical="center"/>
    </xf>
    <xf numFmtId="0" fontId="17" fillId="17" borderId="23" xfId="9" applyFont="1" applyFill="1" applyBorder="1" applyAlignment="1">
      <alignment horizontal="center" vertical="center"/>
    </xf>
    <xf numFmtId="0" fontId="17" fillId="17" borderId="21" xfId="9" applyFont="1" applyFill="1" applyBorder="1" applyAlignment="1">
      <alignment horizontal="center" vertical="center"/>
    </xf>
    <xf numFmtId="0" fontId="17" fillId="17" borderId="62" xfId="9" applyFont="1" applyFill="1" applyBorder="1" applyAlignment="1">
      <alignment horizontal="center" vertical="center"/>
    </xf>
    <xf numFmtId="0" fontId="17" fillId="17" borderId="25" xfId="9" applyFont="1" applyFill="1" applyBorder="1" applyAlignment="1">
      <alignment horizontal="center" vertical="center"/>
    </xf>
    <xf numFmtId="3" fontId="32" fillId="0" borderId="0" xfId="9" applyNumberFormat="1" applyFont="1" applyFill="1" applyBorder="1" applyAlignment="1">
      <alignment horizontal="left" vertical="center"/>
    </xf>
    <xf numFmtId="4" fontId="32" fillId="0" borderId="0" xfId="9" applyNumberFormat="1" applyFont="1" applyFill="1" applyAlignment="1">
      <alignment horizontal="left" vertical="center"/>
    </xf>
    <xf numFmtId="0" fontId="16" fillId="0" borderId="0" xfId="9" applyFont="1" applyFill="1" applyBorder="1" applyAlignment="1">
      <alignment vertical="center"/>
    </xf>
    <xf numFmtId="170" fontId="77" fillId="0" borderId="0" xfId="9" applyNumberFormat="1" applyFont="1" applyFill="1" applyBorder="1" applyAlignment="1">
      <alignment horizontal="center" vertical="center"/>
    </xf>
    <xf numFmtId="3" fontId="16" fillId="0" borderId="73" xfId="9" applyNumberFormat="1" applyFont="1" applyFill="1" applyBorder="1" applyAlignment="1">
      <alignment vertical="center"/>
    </xf>
    <xf numFmtId="170" fontId="16" fillId="0" borderId="52" xfId="9" applyNumberFormat="1" applyFont="1" applyFill="1" applyBorder="1" applyAlignment="1">
      <alignment horizontal="center" vertical="center"/>
    </xf>
    <xf numFmtId="170" fontId="16" fillId="0" borderId="54" xfId="9" applyNumberFormat="1" applyFont="1" applyFill="1" applyBorder="1" applyAlignment="1">
      <alignment horizontal="center" vertical="center"/>
    </xf>
    <xf numFmtId="170" fontId="32" fillId="0" borderId="28" xfId="9" applyNumberFormat="1" applyFont="1" applyFill="1" applyBorder="1" applyAlignment="1">
      <alignment horizontal="center" vertical="center"/>
    </xf>
    <xf numFmtId="3" fontId="17" fillId="0" borderId="38" xfId="9" applyNumberFormat="1" applyFont="1" applyFill="1" applyBorder="1" applyAlignment="1">
      <alignment vertical="center"/>
    </xf>
    <xf numFmtId="3" fontId="17" fillId="0" borderId="30" xfId="9" applyNumberFormat="1" applyFont="1" applyFill="1" applyBorder="1" applyAlignment="1">
      <alignment vertical="center"/>
    </xf>
    <xf numFmtId="3" fontId="17" fillId="0" borderId="0" xfId="9" applyNumberFormat="1" applyFont="1" applyFill="1" applyAlignment="1">
      <alignment vertical="center"/>
    </xf>
    <xf numFmtId="170" fontId="16" fillId="0" borderId="0" xfId="9" applyNumberFormat="1" applyFont="1" applyFill="1" applyBorder="1" applyAlignment="1">
      <alignment vertical="center"/>
    </xf>
    <xf numFmtId="170" fontId="16" fillId="0" borderId="0" xfId="9" applyNumberFormat="1" applyFont="1" applyFill="1" applyBorder="1" applyAlignment="1">
      <alignment horizontal="center" vertical="center"/>
    </xf>
    <xf numFmtId="3" fontId="16" fillId="0" borderId="45" xfId="9" applyNumberFormat="1" applyFont="1" applyFill="1" applyBorder="1" applyAlignment="1">
      <alignment horizontal="right" vertical="center"/>
    </xf>
    <xf numFmtId="168" fontId="13" fillId="0" borderId="20" xfId="9" applyNumberFormat="1" applyFont="1" applyFill="1" applyBorder="1" applyAlignment="1">
      <alignment horizontal="center" vertical="center"/>
    </xf>
    <xf numFmtId="0" fontId="32" fillId="0" borderId="0" xfId="9" applyNumberFormat="1" applyFont="1" applyFill="1" applyAlignment="1">
      <alignment horizontal="left" vertical="center"/>
    </xf>
    <xf numFmtId="3" fontId="16" fillId="0" borderId="73" xfId="9" applyNumberFormat="1" applyFont="1" applyFill="1" applyBorder="1" applyAlignment="1">
      <alignment horizontal="right" vertical="center"/>
    </xf>
    <xf numFmtId="170" fontId="77" fillId="0" borderId="52" xfId="9" applyNumberFormat="1" applyFont="1" applyFill="1" applyBorder="1" applyAlignment="1">
      <alignment horizontal="center" vertical="center"/>
    </xf>
    <xf numFmtId="170" fontId="77" fillId="0" borderId="54" xfId="9" applyNumberFormat="1" applyFont="1" applyFill="1" applyBorder="1" applyAlignment="1">
      <alignment horizontal="center" vertical="center"/>
    </xf>
    <xf numFmtId="170" fontId="77" fillId="0" borderId="28" xfId="9" applyNumberFormat="1" applyFont="1" applyFill="1" applyBorder="1" applyAlignment="1">
      <alignment horizontal="center"/>
    </xf>
    <xf numFmtId="170" fontId="77" fillId="0" borderId="99" xfId="9" applyNumberFormat="1" applyFont="1" applyFill="1" applyBorder="1" applyAlignment="1">
      <alignment horizontal="center" vertical="center"/>
    </xf>
    <xf numFmtId="170" fontId="77" fillId="0" borderId="55" xfId="9" applyNumberFormat="1" applyFont="1" applyFill="1" applyBorder="1" applyAlignment="1">
      <alignment horizontal="center" vertical="center"/>
    </xf>
    <xf numFmtId="0" fontId="16" fillId="0" borderId="0" xfId="9" applyFont="1" applyAlignment="1">
      <alignment horizontal="center" vertical="center"/>
    </xf>
    <xf numFmtId="170" fontId="77" fillId="0" borderId="61" xfId="9" applyNumberFormat="1" applyFont="1" applyFill="1" applyBorder="1" applyAlignment="1">
      <alignment horizontal="center"/>
    </xf>
    <xf numFmtId="4" fontId="16" fillId="21" borderId="79" xfId="5" applyNumberFormat="1" applyFont="1" applyFill="1" applyBorder="1" applyAlignment="1">
      <alignment horizontal="right" vertical="center"/>
    </xf>
    <xf numFmtId="0" fontId="16" fillId="0" borderId="44" xfId="5" applyFont="1" applyBorder="1" applyAlignment="1">
      <alignment horizontal="left" vertical="center"/>
    </xf>
    <xf numFmtId="3" fontId="16" fillId="21" borderId="44" xfId="5" applyNumberFormat="1" applyFont="1" applyFill="1" applyBorder="1" applyAlignment="1">
      <alignment horizontal="right" vertical="center"/>
    </xf>
    <xf numFmtId="3" fontId="16" fillId="0" borderId="81" xfId="5" applyNumberFormat="1" applyFont="1" applyFill="1" applyBorder="1" applyAlignment="1">
      <alignment horizontal="right" vertical="center"/>
    </xf>
    <xf numFmtId="0" fontId="16" fillId="0" borderId="15" xfId="5" applyFont="1" applyFill="1" applyBorder="1" applyAlignment="1">
      <alignment vertical="center"/>
    </xf>
    <xf numFmtId="4" fontId="16" fillId="21" borderId="19" xfId="5" applyNumberFormat="1" applyFont="1" applyFill="1" applyBorder="1" applyAlignment="1">
      <alignment horizontal="right" vertical="center"/>
    </xf>
    <xf numFmtId="0" fontId="16" fillId="0" borderId="11" xfId="5" applyFont="1" applyBorder="1" applyAlignment="1">
      <alignment horizontal="left" vertical="center"/>
    </xf>
    <xf numFmtId="3" fontId="16" fillId="21" borderId="11" xfId="5" applyNumberFormat="1" applyFont="1" applyFill="1" applyBorder="1" applyAlignment="1">
      <alignment horizontal="right" vertical="center"/>
    </xf>
    <xf numFmtId="3" fontId="16" fillId="0" borderId="55" xfId="5" applyNumberFormat="1" applyFont="1" applyFill="1" applyBorder="1" applyAlignment="1">
      <alignment horizontal="right" vertical="center"/>
    </xf>
    <xf numFmtId="0" fontId="17" fillId="26" borderId="49" xfId="5" applyFont="1" applyFill="1" applyBorder="1" applyAlignment="1">
      <alignment vertical="center"/>
    </xf>
    <xf numFmtId="4" fontId="16" fillId="26" borderId="34" xfId="5" applyNumberFormat="1" applyFont="1" applyFill="1" applyBorder="1" applyAlignment="1">
      <alignment vertical="center"/>
    </xf>
    <xf numFmtId="3" fontId="16" fillId="26" borderId="31" xfId="5" applyNumberFormat="1" applyFont="1" applyFill="1" applyBorder="1" applyAlignment="1">
      <alignment vertical="center"/>
    </xf>
    <xf numFmtId="0" fontId="17" fillId="0" borderId="41" xfId="5" applyFont="1" applyBorder="1" applyAlignment="1">
      <alignment vertical="center"/>
    </xf>
    <xf numFmtId="3" fontId="17" fillId="0" borderId="41" xfId="5" applyNumberFormat="1" applyFont="1" applyBorder="1" applyAlignment="1">
      <alignment vertical="center"/>
    </xf>
    <xf numFmtId="3" fontId="16" fillId="26" borderId="1" xfId="5" applyNumberFormat="1" applyFont="1" applyFill="1" applyBorder="1" applyAlignment="1">
      <alignment vertical="center"/>
    </xf>
    <xf numFmtId="3" fontId="17" fillId="26" borderId="57" xfId="5" applyNumberFormat="1" applyFont="1" applyFill="1" applyBorder="1" applyAlignment="1">
      <alignment vertical="center"/>
    </xf>
    <xf numFmtId="4" fontId="16" fillId="26" borderId="3" xfId="5" applyNumberFormat="1" applyFont="1" applyFill="1" applyBorder="1" applyAlignment="1">
      <alignment vertical="center"/>
    </xf>
    <xf numFmtId="4" fontId="16" fillId="26" borderId="5" xfId="5" applyNumberFormat="1" applyFont="1" applyFill="1" applyBorder="1" applyAlignment="1">
      <alignment vertical="center"/>
    </xf>
    <xf numFmtId="3" fontId="16" fillId="26" borderId="6" xfId="5" applyNumberFormat="1" applyFont="1" applyFill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170" fontId="64" fillId="19" borderId="5" xfId="14" applyNumberFormat="1" applyFont="1" applyFill="1" applyBorder="1" applyAlignment="1">
      <alignment horizontal="center" vertical="center"/>
    </xf>
    <xf numFmtId="170" fontId="64" fillId="19" borderId="26" xfId="14" applyNumberFormat="1" applyFont="1" applyFill="1" applyBorder="1" applyAlignment="1">
      <alignment horizontal="center" vertical="center"/>
    </xf>
    <xf numFmtId="170" fontId="55" fillId="19" borderId="0" xfId="15" applyNumberFormat="1" applyFont="1" applyFill="1" applyAlignment="1">
      <alignment horizontal="center" vertical="center" wrapText="1"/>
    </xf>
    <xf numFmtId="170" fontId="64" fillId="19" borderId="0" xfId="15" applyNumberFormat="1" applyFont="1" applyFill="1" applyBorder="1" applyAlignment="1">
      <alignment horizontal="center" vertical="center" wrapText="1"/>
    </xf>
    <xf numFmtId="10" fontId="32" fillId="0" borderId="0" xfId="15" applyNumberFormat="1" applyFont="1" applyFill="1" applyBorder="1" applyAlignment="1">
      <alignment horizontal="left" vertical="center"/>
    </xf>
    <xf numFmtId="0" fontId="55" fillId="0" borderId="0" xfId="0" applyFont="1" applyAlignment="1">
      <alignment horizontal="center" vertical="center" wrapText="1"/>
    </xf>
    <xf numFmtId="168" fontId="64" fillId="0" borderId="0" xfId="0" applyNumberFormat="1" applyFont="1" applyFill="1" applyBorder="1" applyAlignment="1">
      <alignment horizontal="center" vertical="center" wrapText="1"/>
    </xf>
    <xf numFmtId="3" fontId="36" fillId="19" borderId="6" xfId="4" applyNumberFormat="1" applyFont="1" applyFill="1" applyBorder="1" applyAlignment="1">
      <alignment horizontal="right" vertical="center"/>
    </xf>
    <xf numFmtId="3" fontId="77" fillId="0" borderId="4" xfId="9" applyNumberFormat="1" applyFont="1" applyFill="1" applyBorder="1" applyAlignment="1">
      <alignment vertical="center"/>
    </xf>
    <xf numFmtId="0" fontId="46" fillId="0" borderId="0" xfId="9" applyFont="1" applyFill="1" applyBorder="1" applyAlignment="1">
      <alignment horizontal="center" vertical="center" wrapText="1"/>
    </xf>
    <xf numFmtId="0" fontId="17" fillId="0" borderId="73" xfId="9" applyFont="1" applyFill="1" applyBorder="1" applyAlignment="1">
      <alignment horizontal="center" vertical="center"/>
    </xf>
    <xf numFmtId="3" fontId="16" fillId="0" borderId="52" xfId="9" applyNumberFormat="1" applyFont="1" applyFill="1" applyBorder="1" applyAlignment="1">
      <alignment vertical="center"/>
    </xf>
    <xf numFmtId="3" fontId="16" fillId="0" borderId="54" xfId="9" applyNumberFormat="1" applyFont="1" applyFill="1" applyBorder="1" applyAlignment="1">
      <alignment vertical="center"/>
    </xf>
    <xf numFmtId="3" fontId="17" fillId="0" borderId="63" xfId="9" applyNumberFormat="1" applyFont="1" applyFill="1" applyBorder="1" applyAlignment="1">
      <alignment vertical="center"/>
    </xf>
    <xf numFmtId="0" fontId="17" fillId="0" borderId="7" xfId="9" applyFont="1" applyFill="1" applyBorder="1" applyAlignment="1">
      <alignment horizontal="center" vertical="center"/>
    </xf>
    <xf numFmtId="0" fontId="17" fillId="0" borderId="8" xfId="9" applyFont="1" applyFill="1" applyBorder="1" applyAlignment="1">
      <alignment horizontal="center" vertical="center"/>
    </xf>
    <xf numFmtId="3" fontId="16" fillId="0" borderId="5" xfId="9" applyNumberFormat="1" applyFont="1" applyFill="1" applyBorder="1" applyAlignment="1">
      <alignment vertical="center"/>
    </xf>
    <xf numFmtId="3" fontId="16" fillId="0" borderId="26" xfId="9" applyNumberFormat="1" applyFont="1" applyFill="1" applyBorder="1" applyAlignment="1">
      <alignment vertical="center"/>
    </xf>
    <xf numFmtId="3" fontId="17" fillId="0" borderId="48" xfId="9" applyNumberFormat="1" applyFont="1" applyFill="1" applyBorder="1" applyAlignment="1">
      <alignment vertical="center"/>
    </xf>
    <xf numFmtId="0" fontId="16" fillId="0" borderId="0" xfId="9" applyFont="1" applyFill="1" applyAlignment="1">
      <alignment horizontal="center" vertical="center"/>
    </xf>
    <xf numFmtId="0" fontId="62" fillId="0" borderId="0" xfId="0" applyFont="1"/>
    <xf numFmtId="14" fontId="111" fillId="29" borderId="1" xfId="0" applyNumberFormat="1" applyFont="1" applyFill="1" applyBorder="1"/>
    <xf numFmtId="0" fontId="4" fillId="29" borderId="7" xfId="0" applyFont="1" applyFill="1" applyBorder="1" applyAlignment="1">
      <alignment wrapText="1"/>
    </xf>
    <xf numFmtId="0" fontId="4" fillId="29" borderId="1" xfId="0" applyFont="1" applyFill="1" applyBorder="1" applyAlignment="1">
      <alignment wrapText="1"/>
    </xf>
    <xf numFmtId="166" fontId="112" fillId="29" borderId="1" xfId="0" applyNumberFormat="1" applyFont="1" applyFill="1" applyBorder="1"/>
    <xf numFmtId="1" fontId="62" fillId="0" borderId="0" xfId="0" applyNumberFormat="1" applyFont="1"/>
    <xf numFmtId="166" fontId="62" fillId="0" borderId="0" xfId="0" applyNumberFormat="1" applyFont="1"/>
    <xf numFmtId="0" fontId="111" fillId="29" borderId="1" xfId="0" applyFont="1" applyFill="1" applyBorder="1" applyAlignment="1">
      <alignment wrapText="1"/>
    </xf>
    <xf numFmtId="166" fontId="112" fillId="29" borderId="1" xfId="0" applyNumberFormat="1" applyFont="1" applyFill="1" applyBorder="1" applyAlignment="1">
      <alignment horizontal="right"/>
    </xf>
    <xf numFmtId="2" fontId="112" fillId="29" borderId="1" xfId="0" applyNumberFormat="1" applyFont="1" applyFill="1" applyBorder="1" applyAlignment="1">
      <alignment horizontal="right"/>
    </xf>
    <xf numFmtId="2" fontId="112" fillId="29" borderId="1" xfId="0" applyNumberFormat="1" applyFont="1" applyFill="1" applyBorder="1"/>
    <xf numFmtId="3" fontId="112" fillId="0" borderId="1" xfId="0" applyNumberFormat="1" applyFont="1" applyFill="1" applyBorder="1"/>
    <xf numFmtId="2" fontId="112" fillId="0" borderId="1" xfId="0" applyNumberFormat="1" applyFont="1" applyFill="1" applyBorder="1" applyAlignment="1">
      <alignment horizontal="right"/>
    </xf>
    <xf numFmtId="2" fontId="110" fillId="29" borderId="1" xfId="0" quotePrefix="1" applyNumberFormat="1" applyFont="1" applyFill="1" applyBorder="1"/>
    <xf numFmtId="2" fontId="110" fillId="29" borderId="1" xfId="0" applyNumberFormat="1" applyFont="1" applyFill="1" applyBorder="1"/>
    <xf numFmtId="3" fontId="112" fillId="29" borderId="1" xfId="0" applyNumberFormat="1" applyFont="1" applyFill="1" applyBorder="1"/>
    <xf numFmtId="2" fontId="112" fillId="29" borderId="1" xfId="0" quotePrefix="1" applyNumberFormat="1" applyFont="1" applyFill="1" applyBorder="1"/>
    <xf numFmtId="0" fontId="111" fillId="29" borderId="6" xfId="0" applyFont="1" applyFill="1" applyBorder="1" applyAlignment="1">
      <alignment wrapText="1"/>
    </xf>
    <xf numFmtId="3" fontId="112" fillId="29" borderId="6" xfId="0" applyNumberFormat="1" applyFont="1" applyFill="1" applyBorder="1"/>
    <xf numFmtId="2" fontId="112" fillId="29" borderId="6" xfId="0" applyNumberFormat="1" applyFont="1" applyFill="1" applyBorder="1" applyAlignment="1">
      <alignment horizontal="right"/>
    </xf>
    <xf numFmtId="2" fontId="112" fillId="29" borderId="6" xfId="0" quotePrefix="1" applyNumberFormat="1" applyFont="1" applyFill="1" applyBorder="1"/>
    <xf numFmtId="2" fontId="112" fillId="29" borderId="6" xfId="0" applyNumberFormat="1" applyFont="1" applyFill="1" applyBorder="1"/>
    <xf numFmtId="171" fontId="112" fillId="29" borderId="1" xfId="0" applyNumberFormat="1" applyFont="1" applyFill="1" applyBorder="1"/>
    <xf numFmtId="0" fontId="62" fillId="0" borderId="0" xfId="0" applyFont="1" applyAlignment="1">
      <alignment horizontal="right"/>
    </xf>
    <xf numFmtId="0" fontId="4" fillId="17" borderId="28" xfId="0" applyFont="1" applyFill="1" applyBorder="1" applyAlignment="1">
      <alignment wrapText="1"/>
    </xf>
    <xf numFmtId="0" fontId="4" fillId="17" borderId="63" xfId="0" applyFont="1" applyFill="1" applyBorder="1" applyAlignment="1">
      <alignment wrapText="1"/>
    </xf>
    <xf numFmtId="0" fontId="4" fillId="17" borderId="28" xfId="0" applyFont="1" applyFill="1" applyBorder="1" applyAlignment="1"/>
    <xf numFmtId="0" fontId="4" fillId="17" borderId="63" xfId="0" applyFont="1" applyFill="1" applyBorder="1" applyAlignment="1"/>
    <xf numFmtId="0" fontId="113" fillId="17" borderId="21" xfId="0" applyFont="1" applyFill="1" applyBorder="1" applyAlignment="1">
      <alignment horizontal="center" vertical="center"/>
    </xf>
    <xf numFmtId="0" fontId="113" fillId="17" borderId="59" xfId="0" applyFont="1" applyFill="1" applyBorder="1" applyAlignment="1">
      <alignment horizontal="center" vertical="center" wrapText="1"/>
    </xf>
    <xf numFmtId="0" fontId="113" fillId="17" borderId="62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 applyProtection="1">
      <alignment horizontal="center" vertical="center"/>
    </xf>
    <xf numFmtId="2" fontId="16" fillId="0" borderId="0" xfId="0" applyNumberFormat="1" applyFont="1" applyFill="1" applyBorder="1" applyAlignment="1" applyProtection="1">
      <alignment horizontal="center" vertical="center"/>
    </xf>
    <xf numFmtId="2" fontId="17" fillId="0" borderId="6" xfId="0" applyNumberFormat="1" applyFont="1" applyFill="1" applyBorder="1" applyAlignment="1" applyProtection="1">
      <alignment horizontal="center" vertical="center"/>
    </xf>
    <xf numFmtId="49" fontId="13" fillId="30" borderId="1" xfId="5" applyNumberFormat="1" applyFont="1" applyFill="1" applyBorder="1" applyAlignment="1" applyProtection="1">
      <alignment horizontal="center" vertical="center"/>
    </xf>
    <xf numFmtId="0" fontId="13" fillId="30" borderId="1" xfId="5" applyFont="1" applyFill="1" applyBorder="1" applyAlignment="1" applyProtection="1">
      <alignment vertical="center"/>
    </xf>
    <xf numFmtId="3" fontId="17" fillId="30" borderId="1" xfId="5" applyNumberFormat="1" applyFont="1" applyFill="1" applyBorder="1" applyAlignment="1" applyProtection="1">
      <alignment horizontal="center" vertical="center"/>
    </xf>
    <xf numFmtId="3" fontId="17" fillId="30" borderId="1" xfId="5" applyNumberFormat="1" applyFont="1" applyFill="1" applyBorder="1" applyAlignment="1" applyProtection="1">
      <alignment horizontal="right" vertical="center"/>
    </xf>
    <xf numFmtId="0" fontId="13" fillId="30" borderId="1" xfId="5" applyFont="1" applyFill="1" applyBorder="1" applyAlignment="1" applyProtection="1">
      <alignment horizontal="left" vertical="center"/>
    </xf>
    <xf numFmtId="49" fontId="17" fillId="30" borderId="6" xfId="5" applyNumberFormat="1" applyFont="1" applyFill="1" applyBorder="1" applyAlignment="1" applyProtection="1">
      <alignment horizontal="center" vertical="center"/>
    </xf>
    <xf numFmtId="0" fontId="17" fillId="30" borderId="6" xfId="5" applyFont="1" applyFill="1" applyBorder="1" applyAlignment="1" applyProtection="1">
      <alignment vertical="center"/>
    </xf>
    <xf numFmtId="3" fontId="17" fillId="30" borderId="6" xfId="5" applyNumberFormat="1" applyFont="1" applyFill="1" applyBorder="1" applyAlignment="1" applyProtection="1">
      <alignment horizontal="center" vertical="center"/>
    </xf>
    <xf numFmtId="170" fontId="17" fillId="30" borderId="6" xfId="12" applyNumberFormat="1" applyFont="1" applyFill="1" applyBorder="1" applyAlignment="1" applyProtection="1">
      <alignment horizontal="right" vertical="center"/>
    </xf>
    <xf numFmtId="3" fontId="17" fillId="24" borderId="53" xfId="5" applyNumberFormat="1" applyFont="1" applyFill="1" applyBorder="1" applyAlignment="1" applyProtection="1">
      <alignment horizontal="center" vertical="center"/>
    </xf>
    <xf numFmtId="49" fontId="13" fillId="24" borderId="53" xfId="5" applyNumberFormat="1" applyFont="1" applyFill="1" applyBorder="1" applyAlignment="1" applyProtection="1">
      <alignment horizontal="center" vertical="center"/>
    </xf>
    <xf numFmtId="0" fontId="17" fillId="0" borderId="28" xfId="5" applyFont="1" applyFill="1" applyBorder="1" applyAlignment="1" applyProtection="1">
      <alignment horizontal="center" vertical="center"/>
    </xf>
    <xf numFmtId="0" fontId="15" fillId="0" borderId="0" xfId="5" applyFont="1" applyFill="1" applyAlignment="1" applyProtection="1">
      <alignment vertical="center"/>
    </xf>
    <xf numFmtId="166" fontId="86" fillId="0" borderId="0" xfId="0" applyNumberFormat="1" applyFont="1" applyFill="1" applyAlignment="1" applyProtection="1">
      <alignment vertical="center"/>
    </xf>
    <xf numFmtId="166" fontId="18" fillId="0" borderId="0" xfId="5" applyNumberFormat="1" applyFont="1" applyFill="1" applyAlignment="1" applyProtection="1">
      <alignment vertical="center"/>
    </xf>
    <xf numFmtId="166" fontId="85" fillId="0" borderId="0" xfId="0" applyNumberFormat="1" applyFont="1" applyFill="1" applyAlignment="1" applyProtection="1">
      <alignment vertical="center"/>
    </xf>
    <xf numFmtId="0" fontId="17" fillId="0" borderId="0" xfId="5" applyFont="1" applyFill="1" applyAlignment="1" applyProtection="1">
      <alignment vertical="center"/>
    </xf>
    <xf numFmtId="167" fontId="17" fillId="0" borderId="53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Alignment="1" applyProtection="1">
      <alignment vertical="center"/>
    </xf>
    <xf numFmtId="167" fontId="15" fillId="0" borderId="75" xfId="5" applyNumberFormat="1" applyFont="1" applyFill="1" applyBorder="1" applyAlignment="1" applyProtection="1">
      <alignment vertical="center"/>
    </xf>
    <xf numFmtId="167" fontId="17" fillId="0" borderId="0" xfId="5" applyNumberFormat="1" applyFont="1" applyFill="1" applyBorder="1" applyAlignment="1" applyProtection="1">
      <alignment vertical="center"/>
    </xf>
    <xf numFmtId="3" fontId="15" fillId="0" borderId="53" xfId="5" applyNumberFormat="1" applyFont="1" applyFill="1" applyBorder="1" applyAlignment="1" applyProtection="1">
      <alignment vertical="center"/>
    </xf>
    <xf numFmtId="3" fontId="15" fillId="0" borderId="1" xfId="5" applyNumberFormat="1" applyFont="1" applyFill="1" applyBorder="1" applyAlignment="1" applyProtection="1">
      <alignment vertical="center"/>
    </xf>
    <xf numFmtId="0" fontId="16" fillId="0" borderId="0" xfId="5" applyFont="1" applyFill="1" applyAlignment="1" applyProtection="1">
      <alignment vertical="center"/>
    </xf>
    <xf numFmtId="3" fontId="15" fillId="0" borderId="6" xfId="5" applyNumberFormat="1" applyFont="1" applyFill="1" applyBorder="1" applyAlignment="1" applyProtection="1">
      <alignment vertical="center"/>
    </xf>
    <xf numFmtId="3" fontId="17" fillId="0" borderId="53" xfId="5" applyNumberFormat="1" applyFont="1" applyFill="1" applyBorder="1" applyAlignment="1" applyProtection="1">
      <alignment vertical="center"/>
    </xf>
    <xf numFmtId="0" fontId="15" fillId="0" borderId="0" xfId="5" applyFont="1" applyFill="1" applyBorder="1" applyAlignment="1" applyProtection="1">
      <alignment vertical="center"/>
    </xf>
    <xf numFmtId="166" fontId="17" fillId="0" borderId="0" xfId="5" applyNumberFormat="1" applyFont="1" applyFill="1" applyAlignment="1" applyProtection="1">
      <alignment vertical="center"/>
    </xf>
    <xf numFmtId="3" fontId="28" fillId="0" borderId="0" xfId="5" applyNumberFormat="1" applyFont="1" applyFill="1" applyAlignment="1" applyProtection="1">
      <alignment vertical="center"/>
    </xf>
    <xf numFmtId="0" fontId="28" fillId="0" borderId="0" xfId="5" applyFont="1" applyFill="1" applyAlignment="1" applyProtection="1">
      <alignment horizontal="left" vertical="center"/>
    </xf>
    <xf numFmtId="0" fontId="15" fillId="0" borderId="0" xfId="5" applyFont="1" applyAlignment="1" applyProtection="1">
      <alignment vertical="center"/>
    </xf>
    <xf numFmtId="0" fontId="15" fillId="0" borderId="0" xfId="5" applyFont="1" applyBorder="1" applyAlignment="1" applyProtection="1">
      <alignment horizontal="center" vertical="center"/>
    </xf>
    <xf numFmtId="0" fontId="15" fillId="0" borderId="0" xfId="5" applyFont="1" applyBorder="1" applyAlignment="1" applyProtection="1">
      <alignment vertical="center"/>
    </xf>
    <xf numFmtId="0" fontId="15" fillId="0" borderId="0" xfId="5" applyFont="1" applyAlignment="1" applyProtection="1">
      <alignment horizontal="center" vertical="center"/>
    </xf>
    <xf numFmtId="0" fontId="15" fillId="0" borderId="0" xfId="5" applyFont="1" applyFill="1" applyAlignment="1" applyProtection="1">
      <alignment horizontal="center" vertical="center"/>
    </xf>
    <xf numFmtId="3" fontId="13" fillId="24" borderId="53" xfId="5" applyNumberFormat="1" applyFont="1" applyFill="1" applyBorder="1" applyAlignment="1" applyProtection="1">
      <alignment horizontal="left" vertical="center" wrapText="1"/>
    </xf>
    <xf numFmtId="3" fontId="17" fillId="24" borderId="53" xfId="5" applyNumberFormat="1" applyFont="1" applyFill="1" applyBorder="1" applyAlignment="1" applyProtection="1">
      <alignment horizontal="right" vertical="center"/>
    </xf>
    <xf numFmtId="0" fontId="15" fillId="24" borderId="1" xfId="5" applyFont="1" applyFill="1" applyBorder="1" applyAlignment="1" applyProtection="1">
      <alignment horizontal="right" vertical="center"/>
    </xf>
    <xf numFmtId="3" fontId="16" fillId="24" borderId="1" xfId="5" applyNumberFormat="1" applyFont="1" applyFill="1" applyBorder="1" applyAlignment="1" applyProtection="1">
      <alignment horizontal="center" vertical="center"/>
    </xf>
    <xf numFmtId="3" fontId="16" fillId="24" borderId="1" xfId="5" quotePrefix="1" applyNumberFormat="1" applyFont="1" applyFill="1" applyBorder="1" applyAlignment="1" applyProtection="1">
      <alignment horizontal="right" vertical="center"/>
    </xf>
    <xf numFmtId="170" fontId="16" fillId="24" borderId="1" xfId="12" applyNumberFormat="1" applyFont="1" applyFill="1" applyBorder="1" applyAlignment="1" applyProtection="1">
      <alignment horizontal="right" vertical="center"/>
    </xf>
    <xf numFmtId="49" fontId="15" fillId="30" borderId="1" xfId="5" applyNumberFormat="1" applyFont="1" applyFill="1" applyBorder="1" applyAlignment="1" applyProtection="1">
      <alignment horizontal="center" vertical="center"/>
    </xf>
    <xf numFmtId="0" fontId="15" fillId="30" borderId="1" xfId="5" applyFont="1" applyFill="1" applyBorder="1" applyAlignment="1" applyProtection="1">
      <alignment horizontal="right" vertical="center"/>
    </xf>
    <xf numFmtId="3" fontId="16" fillId="30" borderId="1" xfId="5" applyNumberFormat="1" applyFont="1" applyFill="1" applyBorder="1" applyAlignment="1" applyProtection="1">
      <alignment horizontal="center" vertical="center"/>
    </xf>
    <xf numFmtId="3" fontId="16" fillId="30" borderId="1" xfId="5" quotePrefix="1" applyNumberFormat="1" applyFont="1" applyFill="1" applyBorder="1" applyAlignment="1" applyProtection="1">
      <alignment horizontal="right" vertical="center"/>
    </xf>
    <xf numFmtId="170" fontId="16" fillId="30" borderId="1" xfId="12" applyNumberFormat="1" applyFont="1" applyFill="1" applyBorder="1" applyAlignment="1" applyProtection="1">
      <alignment horizontal="right" vertical="center"/>
    </xf>
    <xf numFmtId="49" fontId="13" fillId="7" borderId="53" xfId="5" applyNumberFormat="1" applyFont="1" applyFill="1" applyBorder="1" applyAlignment="1" applyProtection="1">
      <alignment horizontal="center" vertical="center"/>
    </xf>
    <xf numFmtId="49" fontId="16" fillId="0" borderId="53" xfId="5" applyNumberFormat="1" applyFont="1" applyFill="1" applyBorder="1" applyAlignment="1" applyProtection="1">
      <alignment horizontal="center" vertical="center"/>
    </xf>
    <xf numFmtId="0" fontId="16" fillId="0" borderId="53" xfId="5" applyFont="1" applyFill="1" applyBorder="1" applyAlignment="1" applyProtection="1">
      <alignment vertical="center" wrapText="1"/>
    </xf>
    <xf numFmtId="49" fontId="13" fillId="30" borderId="10" xfId="5" applyNumberFormat="1" applyFont="1" applyFill="1" applyBorder="1" applyAlignment="1" applyProtection="1">
      <alignment horizontal="center" vertical="center"/>
    </xf>
    <xf numFmtId="3" fontId="13" fillId="0" borderId="1" xfId="5" applyNumberFormat="1" applyFont="1" applyFill="1" applyBorder="1" applyAlignment="1" applyProtection="1">
      <alignment horizontal="left" vertical="center" wrapText="1"/>
    </xf>
    <xf numFmtId="49" fontId="13" fillId="24" borderId="44" xfId="5" applyNumberFormat="1" applyFont="1" applyFill="1" applyBorder="1" applyAlignment="1" applyProtection="1">
      <alignment horizontal="center" vertical="center"/>
    </xf>
    <xf numFmtId="49" fontId="101" fillId="0" borderId="111" xfId="5" applyNumberFormat="1" applyFont="1" applyFill="1" applyBorder="1" applyAlignment="1" applyProtection="1">
      <alignment horizontal="center" vertical="center"/>
    </xf>
    <xf numFmtId="0" fontId="101" fillId="0" borderId="111" xfId="5" applyFont="1" applyFill="1" applyBorder="1" applyAlignment="1" applyProtection="1">
      <alignment horizontal="right" vertical="center"/>
    </xf>
    <xf numFmtId="3" fontId="101" fillId="0" borderId="111" xfId="5" applyNumberFormat="1" applyFont="1" applyFill="1" applyBorder="1" applyAlignment="1" applyProtection="1">
      <alignment horizontal="center" vertical="center"/>
    </xf>
    <xf numFmtId="167" fontId="101" fillId="0" borderId="111" xfId="5" applyNumberFormat="1" applyFont="1" applyFill="1" applyBorder="1" applyAlignment="1" applyProtection="1">
      <alignment horizontal="right" vertical="center"/>
    </xf>
    <xf numFmtId="49" fontId="101" fillId="0" borderId="1" xfId="5" applyNumberFormat="1" applyFont="1" applyFill="1" applyBorder="1" applyAlignment="1" applyProtection="1">
      <alignment horizontal="center" vertical="center"/>
    </xf>
    <xf numFmtId="0" fontId="101" fillId="0" borderId="1" xfId="5" applyFont="1" applyFill="1" applyBorder="1" applyAlignment="1" applyProtection="1">
      <alignment horizontal="right" vertical="center"/>
    </xf>
    <xf numFmtId="3" fontId="101" fillId="0" borderId="1" xfId="5" applyNumberFormat="1" applyFont="1" applyFill="1" applyBorder="1" applyAlignment="1" applyProtection="1">
      <alignment horizontal="center" vertical="center"/>
    </xf>
    <xf numFmtId="167" fontId="101" fillId="0" borderId="1" xfId="5" applyNumberFormat="1" applyFont="1" applyFill="1" applyBorder="1" applyAlignment="1" applyProtection="1">
      <alignment horizontal="right" vertical="center"/>
    </xf>
    <xf numFmtId="167" fontId="16" fillId="0" borderId="1" xfId="5" applyNumberFormat="1" applyFont="1" applyFill="1" applyBorder="1" applyAlignment="1" applyProtection="1">
      <alignment horizontal="right" vertical="center"/>
    </xf>
    <xf numFmtId="167" fontId="16" fillId="21" borderId="1" xfId="5" applyNumberFormat="1" applyFont="1" applyFill="1" applyBorder="1" applyAlignment="1" applyProtection="1">
      <alignment horizontal="right" vertical="center"/>
    </xf>
    <xf numFmtId="0" fontId="16" fillId="26" borderId="15" xfId="5" applyFont="1" applyFill="1" applyBorder="1" applyAlignment="1">
      <alignment horizontal="right" vertical="center"/>
    </xf>
    <xf numFmtId="3" fontId="16" fillId="19" borderId="4" xfId="5" applyNumberFormat="1" applyFont="1" applyFill="1" applyBorder="1" applyAlignment="1">
      <alignment vertical="center"/>
    </xf>
    <xf numFmtId="0" fontId="16" fillId="26" borderId="24" xfId="5" applyFont="1" applyFill="1" applyBorder="1" applyAlignment="1">
      <alignment horizontal="right" vertical="center"/>
    </xf>
    <xf numFmtId="3" fontId="16" fillId="19" borderId="26" xfId="5" applyNumberFormat="1" applyFont="1" applyFill="1" applyBorder="1" applyAlignment="1">
      <alignment vertical="center"/>
    </xf>
    <xf numFmtId="0" fontId="64" fillId="24" borderId="73" xfId="5" applyFont="1" applyFill="1" applyBorder="1" applyAlignment="1">
      <alignment horizontal="left" vertical="center"/>
    </xf>
    <xf numFmtId="0" fontId="64" fillId="30" borderId="73" xfId="5" applyFont="1" applyFill="1" applyBorder="1" applyAlignment="1">
      <alignment horizontal="left" vertical="center"/>
    </xf>
    <xf numFmtId="0" fontId="64" fillId="30" borderId="90" xfId="5" applyFont="1" applyFill="1" applyBorder="1" applyAlignment="1">
      <alignment horizontal="left" vertical="center"/>
    </xf>
    <xf numFmtId="0" fontId="55" fillId="30" borderId="73" xfId="5" applyFont="1" applyFill="1" applyBorder="1" applyAlignment="1">
      <alignment horizontal="left" vertical="center"/>
    </xf>
    <xf numFmtId="0" fontId="63" fillId="17" borderId="0" xfId="5" applyFont="1" applyFill="1" applyBorder="1" applyAlignment="1">
      <alignment horizontal="right" vertical="center"/>
    </xf>
    <xf numFmtId="172" fontId="63" fillId="17" borderId="0" xfId="0" applyNumberFormat="1" applyFont="1" applyFill="1" applyBorder="1" applyAlignment="1">
      <alignment horizontal="center" vertical="center"/>
    </xf>
    <xf numFmtId="172" fontId="64" fillId="17" borderId="2" xfId="0" applyNumberFormat="1" applyFont="1" applyFill="1" applyBorder="1" applyAlignment="1">
      <alignment horizontal="center" vertical="center"/>
    </xf>
    <xf numFmtId="170" fontId="64" fillId="0" borderId="0" xfId="14" applyNumberFormat="1" applyFont="1" applyFill="1" applyBorder="1" applyAlignment="1">
      <alignment horizontal="center" vertical="center"/>
    </xf>
    <xf numFmtId="172" fontId="63" fillId="19" borderId="0" xfId="0" applyNumberFormat="1" applyFont="1" applyFill="1" applyBorder="1" applyAlignment="1">
      <alignment horizontal="center" vertical="center"/>
    </xf>
    <xf numFmtId="0" fontId="103" fillId="17" borderId="28" xfId="5" quotePrefix="1" applyNumberFormat="1" applyFont="1" applyFill="1" applyBorder="1" applyAlignment="1">
      <alignment horizontal="center" vertical="center"/>
    </xf>
    <xf numFmtId="0" fontId="16" fillId="0" borderId="0" xfId="5" applyFont="1" applyBorder="1" applyAlignment="1">
      <alignment horizontal="left" vertical="center"/>
    </xf>
    <xf numFmtId="2" fontId="17" fillId="0" borderId="0" xfId="0" applyNumberFormat="1" applyFont="1" applyFill="1" applyBorder="1" applyAlignment="1" applyProtection="1">
      <alignment vertical="center"/>
    </xf>
    <xf numFmtId="3" fontId="16" fillId="0" borderId="0" xfId="5" applyNumberFormat="1" applyFont="1" applyFill="1" applyBorder="1" applyAlignment="1">
      <alignment vertical="center"/>
    </xf>
    <xf numFmtId="0" fontId="16" fillId="0" borderId="99" xfId="5" applyFont="1" applyFill="1" applyBorder="1" applyAlignment="1">
      <alignment vertical="center" wrapText="1"/>
    </xf>
    <xf numFmtId="167" fontId="16" fillId="21" borderId="19" xfId="5" applyNumberFormat="1" applyFont="1" applyFill="1" applyBorder="1" applyAlignment="1">
      <alignment horizontal="right" vertical="center"/>
    </xf>
    <xf numFmtId="2" fontId="16" fillId="21" borderId="19" xfId="5" applyNumberFormat="1" applyFont="1" applyFill="1" applyBorder="1" applyAlignment="1">
      <alignment horizontal="right" vertical="center"/>
    </xf>
    <xf numFmtId="0" fontId="17" fillId="26" borderId="23" xfId="5" applyFont="1" applyFill="1" applyBorder="1" applyAlignment="1">
      <alignment vertical="center"/>
    </xf>
    <xf numFmtId="166" fontId="17" fillId="26" borderId="23" xfId="5" applyNumberFormat="1" applyFont="1" applyFill="1" applyBorder="1" applyAlignment="1">
      <alignment horizontal="right" vertical="center"/>
    </xf>
    <xf numFmtId="0" fontId="17" fillId="26" borderId="59" xfId="5" applyFont="1" applyFill="1" applyBorder="1" applyAlignment="1">
      <alignment horizontal="left" vertical="center"/>
    </xf>
    <xf numFmtId="3" fontId="17" fillId="26" borderId="59" xfId="5" applyNumberFormat="1" applyFont="1" applyFill="1" applyBorder="1" applyAlignment="1">
      <alignment horizontal="right" vertical="center"/>
    </xf>
    <xf numFmtId="3" fontId="17" fillId="19" borderId="62" xfId="5" applyNumberFormat="1" applyFont="1" applyFill="1" applyBorder="1" applyAlignment="1">
      <alignment horizontal="right" vertical="center"/>
    </xf>
    <xf numFmtId="4" fontId="17" fillId="26" borderId="23" xfId="5" applyNumberFormat="1" applyFont="1" applyFill="1" applyBorder="1" applyAlignment="1">
      <alignment horizontal="right" vertical="center"/>
    </xf>
    <xf numFmtId="2" fontId="17" fillId="26" borderId="23" xfId="5" applyNumberFormat="1" applyFont="1" applyFill="1" applyBorder="1" applyAlignment="1">
      <alignment horizontal="right" vertical="center"/>
    </xf>
    <xf numFmtId="0" fontId="28" fillId="0" borderId="2" xfId="0" applyFont="1" applyBorder="1" applyAlignment="1" applyProtection="1">
      <alignment horizontal="right" vertical="center"/>
    </xf>
    <xf numFmtId="0" fontId="28" fillId="0" borderId="0" xfId="0" applyFont="1" applyAlignment="1" applyProtection="1">
      <alignment horizontal="right" vertical="center"/>
    </xf>
    <xf numFmtId="0" fontId="64" fillId="30" borderId="104" xfId="5" applyFont="1" applyFill="1" applyBorder="1" applyAlignment="1">
      <alignment horizontal="left" vertical="center"/>
    </xf>
    <xf numFmtId="49" fontId="13" fillId="0" borderId="63" xfId="0" applyNumberFormat="1" applyFont="1" applyFill="1" applyBorder="1" applyAlignment="1" applyProtection="1">
      <alignment vertical="center"/>
    </xf>
    <xf numFmtId="3" fontId="13" fillId="0" borderId="47" xfId="0" applyNumberFormat="1" applyFont="1" applyBorder="1" applyAlignment="1" applyProtection="1">
      <alignment horizontal="center" vertical="center" wrapText="1"/>
    </xf>
    <xf numFmtId="3" fontId="15" fillId="0" borderId="47" xfId="0" applyNumberFormat="1" applyFont="1" applyBorder="1" applyAlignment="1" applyProtection="1">
      <alignment vertical="center"/>
    </xf>
    <xf numFmtId="3" fontId="13" fillId="2" borderId="47" xfId="0" applyNumberFormat="1" applyFont="1" applyFill="1" applyBorder="1" applyAlignment="1" applyProtection="1">
      <alignment vertical="center"/>
    </xf>
    <xf numFmtId="3" fontId="13" fillId="0" borderId="47" xfId="0" applyNumberFormat="1" applyFont="1" applyBorder="1" applyAlignment="1" applyProtection="1">
      <alignment vertical="center"/>
    </xf>
    <xf numFmtId="3" fontId="13" fillId="4" borderId="47" xfId="0" applyNumberFormat="1" applyFont="1" applyFill="1" applyBorder="1" applyAlignment="1" applyProtection="1">
      <alignment vertical="center"/>
    </xf>
    <xf numFmtId="3" fontId="13" fillId="5" borderId="47" xfId="0" applyNumberFormat="1" applyFont="1" applyFill="1" applyBorder="1" applyAlignment="1" applyProtection="1">
      <alignment vertical="center"/>
    </xf>
    <xf numFmtId="3" fontId="15" fillId="0" borderId="47" xfId="0" applyNumberFormat="1" applyFont="1" applyFill="1" applyBorder="1" applyAlignment="1" applyProtection="1">
      <alignment vertical="center"/>
    </xf>
    <xf numFmtId="3" fontId="28" fillId="0" borderId="47" xfId="0" applyNumberFormat="1" applyFont="1" applyBorder="1" applyAlignment="1" applyProtection="1">
      <alignment vertical="center"/>
    </xf>
    <xf numFmtId="3" fontId="15" fillId="18" borderId="47" xfId="0" applyNumberFormat="1" applyFont="1" applyFill="1" applyBorder="1" applyAlignment="1" applyProtection="1">
      <alignment vertical="center"/>
    </xf>
    <xf numFmtId="3" fontId="13" fillId="3" borderId="47" xfId="0" applyNumberFormat="1" applyFont="1" applyFill="1" applyBorder="1" applyAlignment="1" applyProtection="1">
      <alignment vertical="center"/>
    </xf>
    <xf numFmtId="3" fontId="13" fillId="0" borderId="47" xfId="0" applyNumberFormat="1" applyFont="1" applyFill="1" applyBorder="1" applyAlignment="1" applyProtection="1">
      <alignment vertical="center"/>
    </xf>
    <xf numFmtId="3" fontId="13" fillId="2" borderId="48" xfId="0" applyNumberFormat="1" applyFont="1" applyFill="1" applyBorder="1" applyAlignment="1" applyProtection="1">
      <alignment vertical="center"/>
    </xf>
    <xf numFmtId="49" fontId="26" fillId="0" borderId="46" xfId="0" applyNumberFormat="1" applyFont="1" applyBorder="1" applyAlignment="1" applyProtection="1">
      <alignment horizontal="left" vertical="center"/>
    </xf>
    <xf numFmtId="3" fontId="24" fillId="0" borderId="4" xfId="0" applyNumberFormat="1" applyFont="1" applyFill="1" applyBorder="1" applyAlignment="1" applyProtection="1">
      <alignment vertical="center"/>
    </xf>
    <xf numFmtId="3" fontId="15" fillId="0" borderId="4" xfId="0" applyNumberFormat="1" applyFont="1" applyBorder="1" applyAlignment="1" applyProtection="1">
      <alignment vertical="center" wrapText="1"/>
    </xf>
    <xf numFmtId="3" fontId="15" fillId="0" borderId="4" xfId="0" applyNumberFormat="1" applyFont="1" applyBorder="1" applyAlignment="1" applyProtection="1">
      <alignment vertical="center"/>
    </xf>
    <xf numFmtId="0" fontId="16" fillId="0" borderId="81" xfId="2" applyFont="1" applyFill="1" applyBorder="1" applyAlignment="1" applyProtection="1">
      <alignment vertical="center" wrapText="1"/>
    </xf>
    <xf numFmtId="3" fontId="16" fillId="0" borderId="55" xfId="0" applyNumberFormat="1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horizontal="left" vertical="center" wrapText="1"/>
    </xf>
    <xf numFmtId="49" fontId="13" fillId="2" borderId="4" xfId="0" applyNumberFormat="1" applyFont="1" applyFill="1" applyBorder="1" applyAlignment="1" applyProtection="1">
      <alignment horizontal="left" vertical="center"/>
    </xf>
    <xf numFmtId="3" fontId="21" fillId="0" borderId="4" xfId="0" applyNumberFormat="1" applyFont="1" applyFill="1" applyBorder="1" applyAlignment="1" applyProtection="1">
      <alignment vertical="center"/>
    </xf>
    <xf numFmtId="3" fontId="16" fillId="0" borderId="4" xfId="0" applyNumberFormat="1" applyFont="1" applyFill="1" applyBorder="1" applyAlignment="1" applyProtection="1">
      <alignment vertical="center" wrapText="1"/>
    </xf>
    <xf numFmtId="3" fontId="16" fillId="0" borderId="4" xfId="0" applyNumberFormat="1" applyFont="1" applyBorder="1" applyAlignment="1" applyProtection="1">
      <alignment vertical="center"/>
    </xf>
    <xf numFmtId="49" fontId="20" fillId="0" borderId="4" xfId="0" applyNumberFormat="1" applyFont="1" applyBorder="1" applyAlignment="1" applyProtection="1">
      <alignment horizontal="left" vertical="center"/>
    </xf>
    <xf numFmtId="3" fontId="21" fillId="0" borderId="4" xfId="0" applyNumberFormat="1" applyFont="1" applyBorder="1" applyAlignment="1" applyProtection="1">
      <alignment vertical="center"/>
    </xf>
    <xf numFmtId="0" fontId="15" fillId="0" borderId="4" xfId="0" applyFont="1" applyFill="1" applyBorder="1" applyAlignment="1" applyProtection="1">
      <alignment vertical="center"/>
    </xf>
    <xf numFmtId="3" fontId="15" fillId="5" borderId="4" xfId="0" applyNumberFormat="1" applyFont="1" applyFill="1" applyBorder="1" applyAlignment="1" applyProtection="1">
      <alignment vertical="center" wrapText="1"/>
    </xf>
    <xf numFmtId="3" fontId="15" fillId="28" borderId="4" xfId="0" applyNumberFormat="1" applyFont="1" applyFill="1" applyBorder="1" applyAlignment="1">
      <alignment vertical="center" wrapText="1"/>
    </xf>
    <xf numFmtId="0" fontId="13" fillId="4" borderId="4" xfId="0" applyFont="1" applyFill="1" applyBorder="1" applyAlignment="1" applyProtection="1">
      <alignment vertical="center"/>
    </xf>
    <xf numFmtId="0" fontId="21" fillId="5" borderId="4" xfId="0" applyFont="1" applyFill="1" applyBorder="1" applyAlignment="1" applyProtection="1">
      <alignment vertical="center"/>
    </xf>
    <xf numFmtId="0" fontId="15" fillId="5" borderId="4" xfId="0" applyFont="1" applyFill="1" applyBorder="1" applyAlignment="1" applyProtection="1">
      <alignment vertical="center"/>
    </xf>
    <xf numFmtId="3" fontId="15" fillId="5" borderId="4" xfId="0" applyNumberFormat="1" applyFont="1" applyFill="1" applyBorder="1" applyAlignment="1" applyProtection="1">
      <alignment vertical="center"/>
    </xf>
    <xf numFmtId="0" fontId="28" fillId="14" borderId="4" xfId="0" applyFont="1" applyFill="1" applyBorder="1" applyAlignment="1" applyProtection="1">
      <alignment vertical="center"/>
    </xf>
    <xf numFmtId="0" fontId="28" fillId="14" borderId="4" xfId="0" applyFont="1" applyFill="1" applyBorder="1" applyAlignment="1">
      <alignment vertical="center"/>
    </xf>
    <xf numFmtId="0" fontId="15" fillId="0" borderId="4" xfId="0" applyFont="1" applyBorder="1" applyAlignment="1" applyProtection="1">
      <alignment vertical="center"/>
    </xf>
    <xf numFmtId="3" fontId="22" fillId="0" borderId="4" xfId="0" applyNumberFormat="1" applyFont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 wrapText="1"/>
    </xf>
    <xf numFmtId="0" fontId="15" fillId="18" borderId="4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vertical="center" wrapText="1"/>
    </xf>
    <xf numFmtId="3" fontId="15" fillId="0" borderId="4" xfId="0" applyNumberFormat="1" applyFont="1" applyFill="1" applyBorder="1" applyAlignment="1" applyProtection="1">
      <alignment vertical="center" wrapText="1"/>
    </xf>
    <xf numFmtId="0" fontId="16" fillId="0" borderId="4" xfId="0" applyFont="1" applyFill="1" applyBorder="1" applyAlignment="1">
      <alignment vertical="center"/>
    </xf>
    <xf numFmtId="3" fontId="13" fillId="3" borderId="4" xfId="0" applyNumberFormat="1" applyFont="1" applyFill="1" applyBorder="1" applyAlignment="1" applyProtection="1">
      <alignment vertical="center"/>
    </xf>
    <xf numFmtId="3" fontId="13" fillId="0" borderId="4" xfId="0" applyNumberFormat="1" applyFont="1" applyBorder="1" applyAlignment="1" applyProtection="1">
      <alignment vertical="center"/>
    </xf>
    <xf numFmtId="3" fontId="13" fillId="2" borderId="4" xfId="0" applyNumberFormat="1" applyFont="1" applyFill="1" applyBorder="1" applyAlignment="1" applyProtection="1">
      <alignment vertical="center"/>
    </xf>
    <xf numFmtId="3" fontId="17" fillId="15" borderId="47" xfId="0" applyNumberFormat="1" applyFont="1" applyFill="1" applyBorder="1" applyAlignment="1" applyProtection="1">
      <alignment vertical="center"/>
    </xf>
    <xf numFmtId="3" fontId="17" fillId="15" borderId="1" xfId="0" applyNumberFormat="1" applyFont="1" applyFill="1" applyBorder="1" applyAlignment="1" applyProtection="1">
      <alignment vertical="center"/>
    </xf>
    <xf numFmtId="3" fontId="17" fillId="0" borderId="47" xfId="0" applyNumberFormat="1" applyFont="1" applyBorder="1" applyAlignment="1" applyProtection="1">
      <alignment vertical="center"/>
    </xf>
    <xf numFmtId="3" fontId="16" fillId="16" borderId="4" xfId="0" applyNumberFormat="1" applyFont="1" applyFill="1" applyBorder="1" applyAlignment="1" applyProtection="1">
      <alignment vertical="center"/>
    </xf>
    <xf numFmtId="3" fontId="16" fillId="16" borderId="7" xfId="0" applyNumberFormat="1" applyFont="1" applyFill="1" applyBorder="1" applyAlignment="1" applyProtection="1">
      <alignment vertical="center"/>
    </xf>
    <xf numFmtId="3" fontId="16" fillId="16" borderId="1" xfId="0" applyNumberFormat="1" applyFont="1" applyFill="1" applyBorder="1" applyAlignment="1" applyProtection="1">
      <alignment vertical="center"/>
    </xf>
    <xf numFmtId="177" fontId="16" fillId="0" borderId="4" xfId="0" applyNumberFormat="1" applyFont="1" applyFill="1" applyBorder="1" applyAlignment="1" applyProtection="1">
      <alignment vertical="center"/>
    </xf>
    <xf numFmtId="3" fontId="17" fillId="15" borderId="4" xfId="0" applyNumberFormat="1" applyFont="1" applyFill="1" applyBorder="1" applyAlignment="1" applyProtection="1">
      <alignment vertical="center"/>
    </xf>
    <xf numFmtId="3" fontId="17" fillId="0" borderId="47" xfId="0" applyNumberFormat="1" applyFont="1" applyFill="1" applyBorder="1" applyAlignment="1" applyProtection="1">
      <alignment vertical="center"/>
    </xf>
    <xf numFmtId="170" fontId="28" fillId="0" borderId="46" xfId="0" applyNumberFormat="1" applyFont="1" applyFill="1" applyBorder="1" applyAlignment="1" applyProtection="1">
      <alignment horizontal="center" vertical="center" wrapText="1"/>
    </xf>
    <xf numFmtId="0" fontId="16" fillId="17" borderId="0" xfId="0" applyFont="1" applyFill="1" applyBorder="1" applyProtection="1"/>
    <xf numFmtId="3" fontId="16" fillId="27" borderId="47" xfId="5" applyNumberFormat="1" applyFont="1" applyFill="1" applyBorder="1" applyAlignment="1">
      <alignment vertical="center"/>
    </xf>
    <xf numFmtId="3" fontId="112" fillId="27" borderId="1" xfId="0" applyNumberFormat="1" applyFont="1" applyFill="1" applyBorder="1"/>
    <xf numFmtId="166" fontId="112" fillId="27" borderId="1" xfId="0" applyNumberFormat="1" applyFont="1" applyFill="1" applyBorder="1"/>
    <xf numFmtId="166" fontId="112" fillId="27" borderId="1" xfId="0" quotePrefix="1" applyNumberFormat="1" applyFont="1" applyFill="1" applyBorder="1"/>
    <xf numFmtId="2" fontId="112" fillId="27" borderId="1" xfId="0" quotePrefix="1" applyNumberFormat="1" applyFont="1" applyFill="1" applyBorder="1"/>
    <xf numFmtId="2" fontId="112" fillId="27" borderId="1" xfId="0" applyNumberFormat="1" applyFont="1" applyFill="1" applyBorder="1"/>
    <xf numFmtId="170" fontId="55" fillId="0" borderId="0" xfId="15" applyNumberFormat="1" applyFont="1" applyFill="1" applyAlignment="1">
      <alignment horizontal="center" vertical="center" wrapText="1"/>
    </xf>
    <xf numFmtId="170" fontId="64" fillId="0" borderId="0" xfId="15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63" fillId="27" borderId="69" xfId="0" applyFont="1" applyFill="1" applyBorder="1" applyAlignment="1">
      <alignment horizontal="left" vertical="center" wrapText="1"/>
    </xf>
    <xf numFmtId="0" fontId="63" fillId="27" borderId="7" xfId="0" applyFont="1" applyFill="1" applyBorder="1" applyAlignment="1">
      <alignment horizontal="left" vertical="center" wrapText="1"/>
    </xf>
    <xf numFmtId="0" fontId="63" fillId="27" borderId="73" xfId="0" applyFont="1" applyFill="1" applyBorder="1" applyAlignment="1">
      <alignment horizontal="left" vertical="center" wrapText="1"/>
    </xf>
    <xf numFmtId="0" fontId="63" fillId="27" borderId="88" xfId="0" applyFont="1" applyFill="1" applyBorder="1" applyAlignment="1">
      <alignment horizontal="left" vertical="center" wrapText="1"/>
    </xf>
    <xf numFmtId="4" fontId="63" fillId="27" borderId="10" xfId="0" applyNumberFormat="1" applyFont="1" applyFill="1" applyBorder="1" applyAlignment="1">
      <alignment horizontal="right" vertical="center" wrapText="1"/>
    </xf>
    <xf numFmtId="4" fontId="63" fillId="27" borderId="53" xfId="0" applyNumberFormat="1" applyFont="1" applyFill="1" applyBorder="1" applyAlignment="1">
      <alignment horizontal="right" vertical="center" wrapText="1"/>
    </xf>
    <xf numFmtId="4" fontId="63" fillId="27" borderId="119" xfId="0" applyNumberFormat="1" applyFont="1" applyFill="1" applyBorder="1" applyAlignment="1">
      <alignment horizontal="right" vertical="center" wrapText="1"/>
    </xf>
    <xf numFmtId="4" fontId="63" fillId="27" borderId="120" xfId="0" applyNumberFormat="1" applyFont="1" applyFill="1" applyBorder="1" applyAlignment="1">
      <alignment horizontal="right" vertical="center" wrapText="1"/>
    </xf>
    <xf numFmtId="4" fontId="63" fillId="27" borderId="121" xfId="0" applyNumberFormat="1" applyFont="1" applyFill="1" applyBorder="1" applyAlignment="1">
      <alignment horizontal="right" vertical="center" wrapText="1"/>
    </xf>
    <xf numFmtId="4" fontId="64" fillId="27" borderId="75" xfId="0" applyNumberFormat="1" applyFont="1" applyFill="1" applyBorder="1" applyAlignment="1">
      <alignment horizontal="right" vertical="center" wrapText="1"/>
    </xf>
    <xf numFmtId="4" fontId="15" fillId="27" borderId="7" xfId="0" applyNumberFormat="1" applyFont="1" applyFill="1" applyBorder="1" applyAlignment="1" applyProtection="1">
      <alignment horizontal="center" vertical="center"/>
      <protection locked="0"/>
    </xf>
    <xf numFmtId="172" fontId="15" fillId="27" borderId="7" xfId="0" applyNumberFormat="1" applyFont="1" applyFill="1" applyBorder="1" applyAlignment="1" applyProtection="1">
      <alignment horizontal="center" vertical="center"/>
      <protection locked="0"/>
    </xf>
    <xf numFmtId="172" fontId="63" fillId="0" borderId="88" xfId="0" applyNumberFormat="1" applyFont="1" applyBorder="1" applyAlignment="1">
      <alignment horizontal="center" vertical="center"/>
    </xf>
    <xf numFmtId="167" fontId="15" fillId="27" borderId="7" xfId="0" applyNumberFormat="1" applyFont="1" applyFill="1" applyBorder="1" applyAlignment="1" applyProtection="1">
      <alignment horizontal="center" vertical="center"/>
      <protection locked="0"/>
    </xf>
    <xf numFmtId="172" fontId="15" fillId="27" borderId="72" xfId="0" applyNumberFormat="1" applyFont="1" applyFill="1" applyBorder="1" applyAlignment="1" applyProtection="1">
      <alignment horizontal="center" vertical="center"/>
      <protection locked="0"/>
    </xf>
    <xf numFmtId="3" fontId="15" fillId="27" borderId="7" xfId="0" applyNumberFormat="1" applyFont="1" applyFill="1" applyBorder="1" applyAlignment="1" applyProtection="1">
      <alignment horizontal="center" vertical="center"/>
      <protection locked="0"/>
    </xf>
    <xf numFmtId="172" fontId="63" fillId="0" borderId="8" xfId="0" applyNumberFormat="1" applyFont="1" applyBorder="1" applyAlignment="1">
      <alignment horizontal="center" vertical="center"/>
    </xf>
    <xf numFmtId="0" fontId="64" fillId="17" borderId="25" xfId="5" applyFont="1" applyFill="1" applyBorder="1" applyAlignment="1">
      <alignment horizontal="center" vertical="center" wrapText="1"/>
    </xf>
    <xf numFmtId="167" fontId="15" fillId="27" borderId="53" xfId="0" applyNumberFormat="1" applyFont="1" applyFill="1" applyBorder="1" applyAlignment="1" applyProtection="1">
      <alignment horizontal="center" vertical="center"/>
      <protection locked="0"/>
    </xf>
    <xf numFmtId="0" fontId="64" fillId="30" borderId="41" xfId="5" applyFont="1" applyFill="1" applyBorder="1" applyAlignment="1">
      <alignment horizontal="left" vertical="center"/>
    </xf>
    <xf numFmtId="172" fontId="64" fillId="30" borderId="41" xfId="0" applyNumberFormat="1" applyFont="1" applyFill="1" applyBorder="1" applyAlignment="1">
      <alignment horizontal="center" vertical="center"/>
    </xf>
    <xf numFmtId="0" fontId="64" fillId="24" borderId="0" xfId="5" applyFont="1" applyFill="1" applyBorder="1" applyAlignment="1">
      <alignment horizontal="left" vertical="center"/>
    </xf>
    <xf numFmtId="172" fontId="64" fillId="24" borderId="0" xfId="0" applyNumberFormat="1" applyFont="1" applyFill="1" applyBorder="1" applyAlignment="1">
      <alignment horizontal="center" vertical="center"/>
    </xf>
    <xf numFmtId="0" fontId="63" fillId="24" borderId="0" xfId="5" applyFont="1" applyFill="1" applyBorder="1" applyAlignment="1">
      <alignment horizontal="right" vertical="center"/>
    </xf>
    <xf numFmtId="172" fontId="63" fillId="24" borderId="0" xfId="0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 applyProtection="1">
      <alignment horizontal="left" vertical="center"/>
    </xf>
    <xf numFmtId="0" fontId="46" fillId="27" borderId="20" xfId="0" applyFont="1" applyFill="1" applyBorder="1" applyAlignment="1">
      <alignment vertical="center"/>
    </xf>
    <xf numFmtId="0" fontId="46" fillId="27" borderId="20" xfId="0" applyFont="1" applyFill="1" applyBorder="1" applyAlignment="1">
      <alignment horizontal="center" vertical="center"/>
    </xf>
    <xf numFmtId="165" fontId="46" fillId="27" borderId="20" xfId="0" applyNumberFormat="1" applyFont="1" applyFill="1" applyBorder="1" applyAlignment="1">
      <alignment horizontal="center" vertical="center"/>
    </xf>
    <xf numFmtId="172" fontId="18" fillId="27" borderId="20" xfId="0" applyNumberFormat="1" applyFont="1" applyFill="1" applyBorder="1" applyAlignment="1">
      <alignment horizontal="right" vertical="center"/>
    </xf>
    <xf numFmtId="0" fontId="46" fillId="27" borderId="0" xfId="0" applyFont="1" applyFill="1" applyAlignment="1">
      <alignment vertical="center"/>
    </xf>
    <xf numFmtId="0" fontId="46" fillId="27" borderId="0" xfId="0" applyFont="1" applyFill="1" applyAlignment="1">
      <alignment horizontal="center" vertical="center"/>
    </xf>
    <xf numFmtId="165" fontId="46" fillId="27" borderId="0" xfId="0" applyNumberFormat="1" applyFont="1" applyFill="1" applyAlignment="1">
      <alignment horizontal="center" vertical="center"/>
    </xf>
    <xf numFmtId="172" fontId="18" fillId="27" borderId="0" xfId="0" applyNumberFormat="1" applyFont="1" applyFill="1" applyBorder="1" applyAlignment="1">
      <alignment horizontal="right" vertical="center"/>
    </xf>
    <xf numFmtId="0" fontId="46" fillId="27" borderId="0" xfId="0" applyFont="1" applyFill="1" applyBorder="1" applyAlignment="1">
      <alignment vertical="center"/>
    </xf>
    <xf numFmtId="0" fontId="46" fillId="27" borderId="0" xfId="0" applyFont="1" applyFill="1" applyBorder="1" applyAlignment="1">
      <alignment horizontal="center" vertical="center"/>
    </xf>
    <xf numFmtId="165" fontId="46" fillId="27" borderId="0" xfId="0" applyNumberFormat="1" applyFont="1" applyFill="1" applyBorder="1" applyAlignment="1">
      <alignment horizontal="center" vertical="center"/>
    </xf>
    <xf numFmtId="0" fontId="18" fillId="27" borderId="0" xfId="0" applyFont="1" applyFill="1" applyBorder="1" applyAlignment="1">
      <alignment horizontal="center" vertical="center"/>
    </xf>
    <xf numFmtId="0" fontId="46" fillId="27" borderId="28" xfId="0" applyFont="1" applyFill="1" applyBorder="1" applyAlignment="1">
      <alignment vertical="center"/>
    </xf>
    <xf numFmtId="0" fontId="46" fillId="27" borderId="28" xfId="0" applyFont="1" applyFill="1" applyBorder="1" applyAlignment="1">
      <alignment horizontal="center" vertical="center"/>
    </xf>
    <xf numFmtId="165" fontId="46" fillId="27" borderId="28" xfId="0" applyNumberFormat="1" applyFont="1" applyFill="1" applyBorder="1" applyAlignment="1">
      <alignment horizontal="center" vertical="center"/>
    </xf>
    <xf numFmtId="172" fontId="18" fillId="27" borderId="28" xfId="0" applyNumberFormat="1" applyFont="1" applyFill="1" applyBorder="1" applyAlignment="1">
      <alignment horizontal="right" vertical="center"/>
    </xf>
    <xf numFmtId="0" fontId="18" fillId="27" borderId="28" xfId="0" applyFont="1" applyFill="1" applyBorder="1" applyAlignment="1">
      <alignment horizontal="center" vertical="center"/>
    </xf>
    <xf numFmtId="0" fontId="46" fillId="27" borderId="16" xfId="0" applyFont="1" applyFill="1" applyBorder="1" applyAlignment="1">
      <alignment vertical="center"/>
    </xf>
    <xf numFmtId="0" fontId="46" fillId="27" borderId="16" xfId="0" applyFont="1" applyFill="1" applyBorder="1" applyAlignment="1">
      <alignment horizontal="center" vertical="center"/>
    </xf>
    <xf numFmtId="165" fontId="46" fillId="27" borderId="16" xfId="0" applyNumberFormat="1" applyFont="1" applyFill="1" applyBorder="1" applyAlignment="1">
      <alignment horizontal="center" vertical="center"/>
    </xf>
    <xf numFmtId="172" fontId="18" fillId="27" borderId="16" xfId="0" applyNumberFormat="1" applyFont="1" applyFill="1" applyBorder="1" applyAlignment="1">
      <alignment horizontal="right" vertical="center"/>
    </xf>
    <xf numFmtId="175" fontId="46" fillId="27" borderId="20" xfId="0" applyNumberFormat="1" applyFont="1" applyFill="1" applyBorder="1" applyAlignment="1">
      <alignment horizontal="right" vertical="center"/>
    </xf>
    <xf numFmtId="0" fontId="46" fillId="27" borderId="20" xfId="0" applyFont="1" applyFill="1" applyBorder="1" applyAlignment="1">
      <alignment horizontal="right" vertical="center"/>
    </xf>
    <xf numFmtId="175" fontId="46" fillId="27" borderId="0" xfId="0" applyNumberFormat="1" applyFont="1" applyFill="1" applyAlignment="1">
      <alignment horizontal="right" vertical="center"/>
    </xf>
    <xf numFmtId="0" fontId="46" fillId="27" borderId="0" xfId="0" applyFont="1" applyFill="1" applyAlignment="1">
      <alignment horizontal="right" vertical="center"/>
    </xf>
    <xf numFmtId="175" fontId="46" fillId="27" borderId="0" xfId="0" applyNumberFormat="1" applyFont="1" applyFill="1" applyBorder="1" applyAlignment="1">
      <alignment horizontal="right" vertical="center"/>
    </xf>
    <xf numFmtId="0" fontId="46" fillId="27" borderId="0" xfId="0" applyFont="1" applyFill="1" applyBorder="1" applyAlignment="1">
      <alignment horizontal="right" vertical="center"/>
    </xf>
    <xf numFmtId="175" fontId="46" fillId="27" borderId="28" xfId="0" applyNumberFormat="1" applyFont="1" applyFill="1" applyBorder="1" applyAlignment="1">
      <alignment horizontal="right" vertical="center"/>
    </xf>
    <xf numFmtId="0" fontId="46" fillId="27" borderId="28" xfId="0" applyFont="1" applyFill="1" applyBorder="1" applyAlignment="1">
      <alignment horizontal="right" vertical="center"/>
    </xf>
    <xf numFmtId="165" fontId="46" fillId="27" borderId="0" xfId="0" applyNumberFormat="1" applyFont="1" applyFill="1" applyBorder="1" applyAlignment="1">
      <alignment horizontal="right" vertical="center"/>
    </xf>
    <xf numFmtId="175" fontId="46" fillId="27" borderId="16" xfId="0" applyNumberFormat="1" applyFont="1" applyFill="1" applyBorder="1" applyAlignment="1">
      <alignment horizontal="right" vertical="center"/>
    </xf>
    <xf numFmtId="168" fontId="18" fillId="27" borderId="20" xfId="0" applyNumberFormat="1" applyFont="1" applyFill="1" applyBorder="1" applyAlignment="1">
      <alignment horizontal="right" vertical="center"/>
    </xf>
    <xf numFmtId="168" fontId="18" fillId="27" borderId="0" xfId="0" applyNumberFormat="1" applyFont="1" applyFill="1" applyAlignment="1">
      <alignment horizontal="right" vertical="center"/>
    </xf>
    <xf numFmtId="168" fontId="18" fillId="27" borderId="0" xfId="0" applyNumberFormat="1" applyFont="1" applyFill="1" applyBorder="1" applyAlignment="1">
      <alignment horizontal="right" vertical="center"/>
    </xf>
    <xf numFmtId="168" fontId="18" fillId="27" borderId="28" xfId="0" applyNumberFormat="1" applyFont="1" applyFill="1" applyBorder="1" applyAlignment="1">
      <alignment horizontal="right" vertical="center"/>
    </xf>
    <xf numFmtId="0" fontId="46" fillId="27" borderId="20" xfId="0" applyFont="1" applyFill="1" applyBorder="1" applyAlignment="1">
      <alignment horizontal="left" vertical="center"/>
    </xf>
    <xf numFmtId="0" fontId="46" fillId="27" borderId="20" xfId="0" quotePrefix="1" applyFont="1" applyFill="1" applyBorder="1" applyAlignment="1">
      <alignment horizontal="center" vertical="center"/>
    </xf>
    <xf numFmtId="173" fontId="18" fillId="27" borderId="20" xfId="0" applyNumberFormat="1" applyFont="1" applyFill="1" applyBorder="1" applyAlignment="1">
      <alignment horizontal="right" vertical="center"/>
    </xf>
    <xf numFmtId="0" fontId="46" fillId="27" borderId="0" xfId="0" applyFont="1" applyFill="1" applyAlignment="1">
      <alignment horizontal="left" vertical="center"/>
    </xf>
    <xf numFmtId="0" fontId="46" fillId="27" borderId="0" xfId="0" quotePrefix="1" applyFont="1" applyFill="1" applyAlignment="1">
      <alignment horizontal="center" vertical="center"/>
    </xf>
    <xf numFmtId="173" fontId="18" fillId="27" borderId="0" xfId="0" applyNumberFormat="1" applyFont="1" applyFill="1" applyBorder="1" applyAlignment="1">
      <alignment horizontal="right" vertical="center"/>
    </xf>
    <xf numFmtId="173" fontId="18" fillId="27" borderId="0" xfId="0" applyNumberFormat="1" applyFont="1" applyFill="1" applyAlignment="1">
      <alignment horizontal="right" vertical="center"/>
    </xf>
    <xf numFmtId="0" fontId="46" fillId="27" borderId="28" xfId="0" applyFont="1" applyFill="1" applyBorder="1" applyAlignment="1">
      <alignment horizontal="left" vertical="center"/>
    </xf>
    <xf numFmtId="0" fontId="46" fillId="27" borderId="28" xfId="0" quotePrefix="1" applyFont="1" applyFill="1" applyBorder="1" applyAlignment="1">
      <alignment horizontal="center" vertical="center"/>
    </xf>
    <xf numFmtId="173" fontId="18" fillId="27" borderId="28" xfId="0" applyNumberFormat="1" applyFont="1" applyFill="1" applyBorder="1" applyAlignment="1">
      <alignment horizontal="right" vertical="center"/>
    </xf>
    <xf numFmtId="3" fontId="46" fillId="27" borderId="20" xfId="0" applyNumberFormat="1" applyFont="1" applyFill="1" applyBorder="1" applyAlignment="1">
      <alignment horizontal="right" vertical="center"/>
    </xf>
    <xf numFmtId="3" fontId="46" fillId="27" borderId="0" xfId="0" applyNumberFormat="1" applyFont="1" applyFill="1" applyAlignment="1">
      <alignment horizontal="right" vertical="center"/>
    </xf>
    <xf numFmtId="3" fontId="46" fillId="27" borderId="28" xfId="0" applyNumberFormat="1" applyFont="1" applyFill="1" applyBorder="1" applyAlignment="1">
      <alignment horizontal="right" vertical="center"/>
    </xf>
    <xf numFmtId="0" fontId="46" fillId="27" borderId="0" xfId="0" applyFont="1" applyFill="1" applyBorder="1" applyAlignment="1">
      <alignment horizontal="left" vertical="center"/>
    </xf>
    <xf numFmtId="0" fontId="46" fillId="27" borderId="0" xfId="0" quotePrefix="1" applyFont="1" applyFill="1" applyBorder="1" applyAlignment="1">
      <alignment horizontal="center" vertical="center"/>
    </xf>
    <xf numFmtId="3" fontId="46" fillId="27" borderId="0" xfId="0" applyNumberFormat="1" applyFont="1" applyFill="1" applyBorder="1" applyAlignment="1">
      <alignment horizontal="right" vertical="center"/>
    </xf>
    <xf numFmtId="0" fontId="17" fillId="11" borderId="101" xfId="0" applyFont="1" applyFill="1" applyBorder="1" applyAlignment="1" applyProtection="1">
      <alignment horizontal="left" vertical="center" wrapText="1"/>
      <protection locked="0"/>
    </xf>
    <xf numFmtId="3" fontId="17" fillId="4" borderId="68" xfId="0" applyNumberFormat="1" applyFont="1" applyFill="1" applyBorder="1" applyAlignment="1" applyProtection="1">
      <alignment vertical="center" wrapText="1"/>
    </xf>
    <xf numFmtId="3" fontId="16" fillId="21" borderId="68" xfId="5" applyNumberFormat="1" applyFont="1" applyFill="1" applyBorder="1" applyAlignment="1">
      <alignment vertical="center"/>
    </xf>
    <xf numFmtId="3" fontId="16" fillId="27" borderId="68" xfId="5" applyNumberFormat="1" applyFont="1" applyFill="1" applyBorder="1" applyAlignment="1">
      <alignment vertical="center"/>
    </xf>
    <xf numFmtId="3" fontId="17" fillId="4" borderId="68" xfId="0" applyNumberFormat="1" applyFont="1" applyFill="1" applyBorder="1" applyAlignment="1" applyProtection="1">
      <alignment vertical="center"/>
    </xf>
    <xf numFmtId="3" fontId="17" fillId="11" borderId="68" xfId="0" applyNumberFormat="1" applyFont="1" applyFill="1" applyBorder="1" applyAlignment="1" applyProtection="1">
      <alignment horizontal="right" vertical="center" wrapText="1"/>
      <protection locked="0"/>
    </xf>
    <xf numFmtId="3" fontId="17" fillId="15" borderId="68" xfId="0" applyNumberFormat="1" applyFont="1" applyFill="1" applyBorder="1" applyAlignment="1" applyProtection="1">
      <alignment vertical="center" wrapText="1"/>
    </xf>
    <xf numFmtId="3" fontId="17" fillId="11" borderId="68" xfId="0" applyNumberFormat="1" applyFont="1" applyFill="1" applyBorder="1" applyAlignment="1" applyProtection="1">
      <alignment vertical="center" wrapText="1"/>
      <protection locked="0"/>
    </xf>
    <xf numFmtId="3" fontId="16" fillId="11" borderId="68" xfId="0" applyNumberFormat="1" applyFont="1" applyFill="1" applyBorder="1" applyAlignment="1" applyProtection="1">
      <alignment vertical="center" wrapText="1"/>
      <protection locked="0"/>
    </xf>
    <xf numFmtId="3" fontId="17" fillId="4" borderId="101" xfId="0" quotePrefix="1" applyNumberFormat="1" applyFont="1" applyFill="1" applyBorder="1" applyAlignment="1" applyProtection="1">
      <alignment horizontal="right" vertical="center" wrapText="1"/>
    </xf>
    <xf numFmtId="3" fontId="17" fillId="9" borderId="68" xfId="0" applyNumberFormat="1" applyFont="1" applyFill="1" applyBorder="1" applyAlignment="1" applyProtection="1">
      <alignment vertical="center" wrapText="1"/>
    </xf>
    <xf numFmtId="3" fontId="16" fillId="21" borderId="141" xfId="5" applyNumberFormat="1" applyFont="1" applyFill="1" applyBorder="1" applyAlignment="1">
      <alignment vertical="center"/>
    </xf>
    <xf numFmtId="3" fontId="16" fillId="27" borderId="1" xfId="5" applyNumberFormat="1" applyFont="1" applyFill="1" applyBorder="1" applyAlignment="1">
      <alignment vertical="center"/>
    </xf>
    <xf numFmtId="3" fontId="16" fillId="11" borderId="68" xfId="0" applyNumberFormat="1" applyFont="1" applyFill="1" applyBorder="1" applyAlignment="1" applyProtection="1">
      <alignment vertical="center"/>
    </xf>
    <xf numFmtId="3" fontId="17" fillId="15" borderId="25" xfId="0" applyNumberFormat="1" applyFont="1" applyFill="1" applyBorder="1" applyAlignment="1" applyProtection="1">
      <alignment vertical="center"/>
    </xf>
    <xf numFmtId="0" fontId="16" fillId="0" borderId="45" xfId="0" applyFont="1" applyBorder="1" applyAlignment="1">
      <alignment horizontal="center" vertical="center"/>
    </xf>
    <xf numFmtId="49" fontId="16" fillId="0" borderId="45" xfId="0" applyNumberFormat="1" applyFont="1" applyBorder="1" applyAlignment="1">
      <alignment horizontal="center" vertical="center"/>
    </xf>
    <xf numFmtId="0" fontId="16" fillId="0" borderId="45" xfId="0" applyFont="1" applyFill="1" applyBorder="1" applyAlignment="1" applyProtection="1">
      <alignment vertical="center"/>
    </xf>
    <xf numFmtId="0" fontId="17" fillId="0" borderId="7" xfId="0" applyFont="1" applyFill="1" applyBorder="1" applyAlignment="1" applyProtection="1">
      <alignment vertical="center"/>
    </xf>
    <xf numFmtId="0" fontId="88" fillId="0" borderId="45" xfId="0" applyFont="1" applyBorder="1"/>
    <xf numFmtId="0" fontId="53" fillId="0" borderId="45" xfId="0" applyFont="1" applyFill="1" applyBorder="1" applyAlignment="1" applyProtection="1">
      <alignment vertical="center"/>
    </xf>
    <xf numFmtId="0" fontId="88" fillId="0" borderId="45" xfId="0" applyFont="1" applyFill="1" applyBorder="1"/>
    <xf numFmtId="0" fontId="53" fillId="0" borderId="16" xfId="0" applyFont="1" applyFill="1" applyBorder="1" applyAlignment="1" applyProtection="1">
      <alignment vertical="center"/>
    </xf>
    <xf numFmtId="3" fontId="16" fillId="0" borderId="43" xfId="0" applyNumberFormat="1" applyFont="1" applyBorder="1"/>
    <xf numFmtId="0" fontId="53" fillId="0" borderId="43" xfId="0" applyFont="1" applyFill="1" applyBorder="1" applyAlignment="1" applyProtection="1">
      <alignment vertical="center"/>
    </xf>
    <xf numFmtId="3" fontId="16" fillId="0" borderId="43" xfId="0" applyNumberFormat="1" applyFont="1" applyFill="1" applyBorder="1"/>
    <xf numFmtId="0" fontId="16" fillId="0" borderId="43" xfId="0" applyFont="1" applyFill="1" applyBorder="1" applyAlignment="1" applyProtection="1">
      <alignment vertical="center"/>
    </xf>
    <xf numFmtId="0" fontId="16" fillId="0" borderId="61" xfId="0" applyFont="1" applyFill="1" applyBorder="1" applyAlignment="1" applyProtection="1">
      <alignment vertical="center"/>
    </xf>
    <xf numFmtId="0" fontId="16" fillId="0" borderId="28" xfId="0" applyFont="1" applyFill="1" applyBorder="1" applyAlignment="1" applyProtection="1">
      <alignment vertical="center"/>
    </xf>
    <xf numFmtId="0" fontId="16" fillId="0" borderId="64" xfId="0" applyFont="1" applyFill="1" applyBorder="1" applyAlignment="1" applyProtection="1">
      <alignment vertical="center"/>
    </xf>
    <xf numFmtId="0" fontId="16" fillId="0" borderId="63" xfId="0" applyFont="1" applyFill="1" applyBorder="1" applyAlignment="1" applyProtection="1">
      <alignment vertical="center"/>
    </xf>
    <xf numFmtId="0" fontId="17" fillId="11" borderId="9" xfId="0" applyFont="1" applyFill="1" applyBorder="1" applyAlignment="1" applyProtection="1">
      <alignment vertical="center"/>
    </xf>
    <xf numFmtId="3" fontId="17" fillId="11" borderId="9" xfId="0" applyNumberFormat="1" applyFont="1" applyFill="1" applyBorder="1" applyAlignment="1" applyProtection="1">
      <alignment vertical="center"/>
    </xf>
    <xf numFmtId="3" fontId="17" fillId="11" borderId="10" xfId="0" applyNumberFormat="1" applyFont="1" applyFill="1" applyBorder="1" applyAlignment="1" applyProtection="1">
      <alignment vertical="center"/>
    </xf>
    <xf numFmtId="3" fontId="17" fillId="11" borderId="71" xfId="0" applyNumberFormat="1" applyFont="1" applyFill="1" applyBorder="1" applyAlignment="1" applyProtection="1">
      <alignment vertical="center"/>
    </xf>
    <xf numFmtId="0" fontId="16" fillId="11" borderId="3" xfId="0" applyFont="1" applyFill="1" applyBorder="1" applyAlignment="1" applyProtection="1">
      <alignment vertical="center"/>
    </xf>
    <xf numFmtId="0" fontId="16" fillId="11" borderId="5" xfId="0" applyFont="1" applyFill="1" applyBorder="1" applyAlignment="1" applyProtection="1">
      <alignment vertical="center"/>
    </xf>
    <xf numFmtId="0" fontId="16" fillId="11" borderId="8" xfId="0" applyFont="1" applyFill="1" applyBorder="1" applyAlignment="1" applyProtection="1">
      <alignment vertical="center"/>
    </xf>
    <xf numFmtId="3" fontId="16" fillId="11" borderId="5" xfId="0" applyNumberFormat="1" applyFont="1" applyFill="1" applyBorder="1" applyAlignment="1" applyProtection="1">
      <alignment vertical="center"/>
    </xf>
    <xf numFmtId="3" fontId="16" fillId="11" borderId="6" xfId="0" applyNumberFormat="1" applyFont="1" applyFill="1" applyBorder="1" applyAlignment="1" applyProtection="1">
      <alignment vertical="center"/>
    </xf>
    <xf numFmtId="3" fontId="16" fillId="11" borderId="141" xfId="0" applyNumberFormat="1" applyFont="1" applyFill="1" applyBorder="1" applyAlignment="1" applyProtection="1">
      <alignment vertical="center"/>
    </xf>
    <xf numFmtId="49" fontId="13" fillId="7" borderId="10" xfId="5" applyNumberFormat="1" applyFont="1" applyFill="1" applyBorder="1" applyAlignment="1" applyProtection="1">
      <alignment horizontal="center" vertical="center"/>
    </xf>
    <xf numFmtId="167" fontId="17" fillId="0" borderId="63" xfId="5" applyNumberFormat="1" applyFont="1" applyFill="1" applyBorder="1" applyAlignment="1" applyProtection="1">
      <alignment vertical="center"/>
    </xf>
    <xf numFmtId="167" fontId="15" fillId="0" borderId="142" xfId="5" applyNumberFormat="1" applyFont="1" applyFill="1" applyBorder="1" applyAlignment="1" applyProtection="1">
      <alignment vertical="center"/>
    </xf>
    <xf numFmtId="3" fontId="16" fillId="0" borderId="63" xfId="5" applyNumberFormat="1" applyFont="1" applyFill="1" applyBorder="1" applyAlignment="1">
      <alignment horizontal="right" vertical="center"/>
    </xf>
    <xf numFmtId="3" fontId="15" fillId="0" borderId="63" xfId="5" applyNumberFormat="1" applyFont="1" applyFill="1" applyBorder="1" applyAlignment="1" applyProtection="1">
      <alignment vertical="center"/>
    </xf>
    <xf numFmtId="3" fontId="15" fillId="0" borderId="47" xfId="5" applyNumberFormat="1" applyFont="1" applyFill="1" applyBorder="1" applyAlignment="1" applyProtection="1">
      <alignment vertical="center"/>
    </xf>
    <xf numFmtId="3" fontId="15" fillId="0" borderId="48" xfId="5" applyNumberFormat="1" applyFont="1" applyFill="1" applyBorder="1" applyAlignment="1" applyProtection="1">
      <alignment vertical="center"/>
    </xf>
    <xf numFmtId="3" fontId="17" fillId="0" borderId="63" xfId="5" applyNumberFormat="1" applyFont="1" applyFill="1" applyBorder="1" applyAlignment="1" applyProtection="1">
      <alignment vertical="center"/>
    </xf>
    <xf numFmtId="0" fontId="13" fillId="7" borderId="63" xfId="5" applyFont="1" applyFill="1" applyBorder="1" applyAlignment="1" applyProtection="1">
      <alignment horizontal="left" vertical="center"/>
    </xf>
    <xf numFmtId="181" fontId="16" fillId="0" borderId="6" xfId="5" applyNumberFormat="1" applyFont="1" applyFill="1" applyBorder="1" applyAlignment="1" applyProtection="1">
      <alignment horizontal="right" vertical="center"/>
    </xf>
    <xf numFmtId="169" fontId="16" fillId="0" borderId="6" xfId="5" applyNumberFormat="1" applyFont="1" applyFill="1" applyBorder="1" applyAlignment="1" applyProtection="1">
      <alignment horizontal="right" vertical="center"/>
    </xf>
    <xf numFmtId="168" fontId="31" fillId="19" borderId="23" xfId="0" applyNumberFormat="1" applyFont="1" applyFill="1" applyBorder="1" applyAlignment="1">
      <alignment horizontal="right" vertical="center"/>
    </xf>
    <xf numFmtId="168" fontId="31" fillId="19" borderId="62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70" fillId="0" borderId="0" xfId="0" applyNumberFormat="1" applyFont="1" applyFill="1" applyBorder="1" applyAlignment="1">
      <alignment horizontal="right" vertical="center"/>
    </xf>
    <xf numFmtId="170" fontId="16" fillId="0" borderId="79" xfId="9" applyNumberFormat="1" applyFont="1" applyFill="1" applyBorder="1" applyAlignment="1">
      <alignment horizontal="center" vertical="center"/>
    </xf>
    <xf numFmtId="170" fontId="16" fillId="0" borderId="81" xfId="9" applyNumberFormat="1" applyFont="1" applyFill="1" applyBorder="1" applyAlignment="1">
      <alignment horizontal="center" vertical="center"/>
    </xf>
    <xf numFmtId="3" fontId="46" fillId="0" borderId="0" xfId="9" applyNumberFormat="1" applyFont="1" applyFill="1" applyBorder="1" applyAlignment="1">
      <alignment horizontal="right" vertical="center"/>
    </xf>
    <xf numFmtId="164" fontId="32" fillId="0" borderId="0" xfId="9" applyNumberFormat="1" applyFont="1" applyFill="1" applyAlignment="1">
      <alignment horizontal="left" vertical="center"/>
    </xf>
    <xf numFmtId="0" fontId="16" fillId="17" borderId="5" xfId="9" applyFont="1" applyFill="1" applyBorder="1" applyAlignment="1">
      <alignment horizontal="center" vertical="center"/>
    </xf>
    <xf numFmtId="0" fontId="16" fillId="17" borderId="26" xfId="9" applyFont="1" applyFill="1" applyBorder="1" applyAlignment="1">
      <alignment horizontal="center" vertical="center"/>
    </xf>
    <xf numFmtId="170" fontId="13" fillId="0" borderId="0" xfId="14" applyNumberFormat="1" applyFont="1" applyFill="1" applyBorder="1" applyAlignment="1">
      <alignment horizontal="center" vertical="center"/>
    </xf>
    <xf numFmtId="172" fontId="6" fillId="0" borderId="44" xfId="0" applyNumberFormat="1" applyFont="1" applyFill="1" applyBorder="1" applyAlignment="1">
      <alignment vertical="center"/>
    </xf>
    <xf numFmtId="172" fontId="6" fillId="0" borderId="1" xfId="0" applyNumberFormat="1" applyFont="1" applyFill="1" applyBorder="1" applyAlignment="1">
      <alignment vertical="center"/>
    </xf>
    <xf numFmtId="0" fontId="63" fillId="0" borderId="75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 wrapText="1"/>
    </xf>
    <xf numFmtId="0" fontId="63" fillId="0" borderId="53" xfId="0" applyFont="1" applyFill="1" applyBorder="1" applyAlignment="1">
      <alignment vertical="center"/>
    </xf>
    <xf numFmtId="0" fontId="64" fillId="0" borderId="1" xfId="0" applyFont="1" applyFill="1" applyBorder="1" applyAlignment="1">
      <alignment horizontal="center" vertical="center" wrapText="1"/>
    </xf>
    <xf numFmtId="0" fontId="63" fillId="0" borderId="53" xfId="0" applyFont="1" applyFill="1" applyBorder="1" applyAlignment="1">
      <alignment vertical="center" wrapText="1"/>
    </xf>
    <xf numFmtId="180" fontId="63" fillId="0" borderId="53" xfId="0" applyNumberFormat="1" applyFont="1" applyFill="1" applyBorder="1" applyAlignment="1">
      <alignment vertical="center"/>
    </xf>
    <xf numFmtId="180" fontId="63" fillId="0" borderId="94" xfId="0" applyNumberFormat="1" applyFont="1" applyFill="1" applyBorder="1" applyAlignment="1">
      <alignment vertical="center"/>
    </xf>
    <xf numFmtId="180" fontId="63" fillId="0" borderId="75" xfId="0" applyNumberFormat="1" applyFont="1" applyFill="1" applyBorder="1" applyAlignment="1">
      <alignment vertical="center"/>
    </xf>
    <xf numFmtId="180" fontId="63" fillId="0" borderId="87" xfId="0" applyNumberFormat="1" applyFont="1" applyFill="1" applyBorder="1" applyAlignment="1">
      <alignment vertical="center"/>
    </xf>
    <xf numFmtId="180" fontId="63" fillId="0" borderId="1" xfId="0" applyNumberFormat="1" applyFont="1" applyFill="1" applyBorder="1" applyAlignment="1">
      <alignment vertical="center"/>
    </xf>
    <xf numFmtId="170" fontId="63" fillId="0" borderId="44" xfId="15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170" fontId="17" fillId="0" borderId="0" xfId="12" applyNumberFormat="1" applyFont="1" applyFill="1" applyAlignment="1">
      <alignment vertical="center"/>
    </xf>
    <xf numFmtId="170" fontId="72" fillId="0" borderId="0" xfId="5" applyNumberFormat="1" applyFont="1" applyFill="1" applyAlignment="1">
      <alignment vertical="center"/>
    </xf>
    <xf numFmtId="0" fontId="16" fillId="0" borderId="61" xfId="0" applyFont="1" applyFill="1" applyBorder="1" applyAlignment="1">
      <alignment horizontal="center" vertical="center" wrapText="1"/>
    </xf>
    <xf numFmtId="0" fontId="16" fillId="0" borderId="73" xfId="0" applyFont="1" applyFill="1" applyBorder="1" applyAlignment="1">
      <alignment horizontal="center" vertical="center" wrapText="1"/>
    </xf>
    <xf numFmtId="9" fontId="16" fillId="0" borderId="45" xfId="12" applyNumberFormat="1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>
      <alignment horizontal="center" vertical="center" wrapText="1"/>
    </xf>
    <xf numFmtId="0" fontId="114" fillId="0" borderId="0" xfId="0" applyFont="1" applyFill="1" applyAlignment="1">
      <alignment wrapText="1"/>
    </xf>
    <xf numFmtId="9" fontId="17" fillId="0" borderId="0" xfId="14" applyNumberFormat="1" applyFont="1" applyFill="1" applyBorder="1" applyAlignment="1">
      <alignment horizontal="center" vertical="center" wrapText="1"/>
    </xf>
    <xf numFmtId="166" fontId="17" fillId="0" borderId="0" xfId="0" applyNumberFormat="1" applyFont="1" applyFill="1" applyAlignment="1">
      <alignment horizontal="left" vertical="center"/>
    </xf>
    <xf numFmtId="0" fontId="17" fillId="17" borderId="12" xfId="2" applyFont="1" applyFill="1" applyBorder="1" applyAlignment="1">
      <alignment vertical="center" wrapText="1"/>
    </xf>
    <xf numFmtId="170" fontId="77" fillId="0" borderId="61" xfId="9" applyNumberFormat="1" applyFont="1" applyFill="1" applyBorder="1" applyAlignment="1">
      <alignment horizontal="center" vertical="center"/>
    </xf>
    <xf numFmtId="0" fontId="18" fillId="27" borderId="20" xfId="0" applyFont="1" applyFill="1" applyBorder="1" applyAlignment="1">
      <alignment horizontal="center" vertical="center"/>
    </xf>
    <xf numFmtId="168" fontId="46" fillId="23" borderId="20" xfId="0" applyNumberFormat="1" applyFont="1" applyFill="1" applyBorder="1" applyAlignment="1">
      <alignment horizontal="right" vertical="center"/>
    </xf>
    <xf numFmtId="168" fontId="94" fillId="23" borderId="20" xfId="0" applyNumberFormat="1" applyFont="1" applyFill="1" applyBorder="1" applyAlignment="1">
      <alignment horizontal="right" vertical="center"/>
    </xf>
    <xf numFmtId="168" fontId="18" fillId="23" borderId="20" xfId="0" applyNumberFormat="1" applyFont="1" applyFill="1" applyBorder="1" applyAlignment="1">
      <alignment horizontal="right" vertical="center"/>
    </xf>
    <xf numFmtId="3" fontId="6" fillId="27" borderId="73" xfId="0" applyNumberFormat="1" applyFont="1" applyFill="1" applyBorder="1" applyAlignment="1">
      <alignment horizontal="right" vertical="center"/>
    </xf>
    <xf numFmtId="3" fontId="6" fillId="27" borderId="53" xfId="0" applyNumberFormat="1" applyFont="1" applyFill="1" applyBorder="1" applyAlignment="1">
      <alignment horizontal="right" vertical="center"/>
    </xf>
    <xf numFmtId="3" fontId="6" fillId="27" borderId="101" xfId="0" applyNumberFormat="1" applyFont="1" applyFill="1" applyBorder="1" applyAlignment="1">
      <alignment horizontal="right" vertical="center"/>
    </xf>
    <xf numFmtId="3" fontId="6" fillId="27" borderId="74" xfId="0" applyNumberFormat="1" applyFont="1" applyFill="1" applyBorder="1" applyAlignment="1">
      <alignment vertical="center"/>
    </xf>
    <xf numFmtId="17" fontId="63" fillId="0" borderId="0" xfId="0" applyNumberFormat="1" applyFont="1" applyBorder="1" applyAlignment="1">
      <alignment vertical="center"/>
    </xf>
    <xf numFmtId="173" fontId="63" fillId="0" borderId="77" xfId="0" applyNumberFormat="1" applyFont="1" applyFill="1" applyBorder="1" applyAlignment="1">
      <alignment vertical="center"/>
    </xf>
    <xf numFmtId="176" fontId="63" fillId="0" borderId="77" xfId="0" applyNumberFormat="1" applyFont="1" applyFill="1" applyBorder="1" applyAlignment="1">
      <alignment vertical="center"/>
    </xf>
    <xf numFmtId="170" fontId="63" fillId="0" borderId="77" xfId="15" applyNumberFormat="1" applyFont="1" applyFill="1" applyBorder="1" applyAlignment="1">
      <alignment vertical="center"/>
    </xf>
    <xf numFmtId="172" fontId="63" fillId="0" borderId="77" xfId="0" applyNumberFormat="1" applyFont="1" applyFill="1" applyBorder="1" applyAlignment="1">
      <alignment vertical="center"/>
    </xf>
    <xf numFmtId="0" fontId="63" fillId="0" borderId="77" xfId="0" applyFont="1" applyFill="1" applyBorder="1" applyAlignment="1">
      <alignment horizontal="center" vertical="center"/>
    </xf>
    <xf numFmtId="0" fontId="63" fillId="0" borderId="77" xfId="0" applyFont="1" applyFill="1" applyBorder="1" applyAlignment="1">
      <alignment vertical="center" wrapText="1"/>
    </xf>
    <xf numFmtId="0" fontId="64" fillId="0" borderId="77" xfId="0" applyFont="1" applyFill="1" applyBorder="1" applyAlignment="1">
      <alignment horizontal="center" vertical="center" wrapText="1"/>
    </xf>
    <xf numFmtId="0" fontId="63" fillId="0" borderId="77" xfId="0" applyFont="1" applyFill="1" applyBorder="1" applyAlignment="1">
      <alignment horizontal="center" vertical="center" wrapText="1"/>
    </xf>
    <xf numFmtId="0" fontId="64" fillId="0" borderId="90" xfId="0" applyFont="1" applyFill="1" applyBorder="1" applyAlignment="1">
      <alignment vertical="center" wrapText="1"/>
    </xf>
    <xf numFmtId="0" fontId="64" fillId="0" borderId="77" xfId="0" applyFont="1" applyFill="1" applyBorder="1" applyAlignment="1">
      <alignment vertical="center" wrapText="1"/>
    </xf>
    <xf numFmtId="0" fontId="64" fillId="27" borderId="146" xfId="0" applyFont="1" applyFill="1" applyBorder="1" applyAlignment="1">
      <alignment horizontal="center" vertical="center" wrapText="1"/>
    </xf>
    <xf numFmtId="3" fontId="9" fillId="27" borderId="92" xfId="0" applyNumberFormat="1" applyFont="1" applyFill="1" applyBorder="1" applyAlignment="1">
      <alignment vertical="center"/>
    </xf>
    <xf numFmtId="3" fontId="9" fillId="27" borderId="77" xfId="0" applyNumberFormat="1" applyFont="1" applyFill="1" applyBorder="1" applyAlignment="1">
      <alignment vertical="center"/>
    </xf>
    <xf numFmtId="3" fontId="55" fillId="0" borderId="77" xfId="0" applyNumberFormat="1" applyFont="1" applyFill="1" applyBorder="1" applyAlignment="1">
      <alignment vertical="center"/>
    </xf>
    <xf numFmtId="3" fontId="6" fillId="27" borderId="90" xfId="0" applyNumberFormat="1" applyFont="1" applyFill="1" applyBorder="1" applyAlignment="1">
      <alignment vertical="center"/>
    </xf>
    <xf numFmtId="3" fontId="6" fillId="27" borderId="77" xfId="0" applyNumberFormat="1" applyFont="1" applyFill="1" applyBorder="1" applyAlignment="1">
      <alignment vertical="center"/>
    </xf>
    <xf numFmtId="3" fontId="6" fillId="27" borderId="146" xfId="0" applyNumberFormat="1" applyFont="1" applyFill="1" applyBorder="1" applyAlignment="1">
      <alignment vertical="center"/>
    </xf>
    <xf numFmtId="3" fontId="6" fillId="27" borderId="92" xfId="0" applyNumberFormat="1" applyFont="1" applyFill="1" applyBorder="1" applyAlignment="1">
      <alignment vertical="center"/>
    </xf>
    <xf numFmtId="3" fontId="6" fillId="27" borderId="145" xfId="0" applyNumberFormat="1" applyFont="1" applyFill="1" applyBorder="1" applyAlignment="1">
      <alignment vertical="center"/>
    </xf>
    <xf numFmtId="168" fontId="55" fillId="0" borderId="144" xfId="0" applyNumberFormat="1" applyFont="1" applyFill="1" applyBorder="1" applyAlignment="1">
      <alignment vertical="center"/>
    </xf>
    <xf numFmtId="168" fontId="6" fillId="0" borderId="77" xfId="0" applyNumberFormat="1" applyFont="1" applyFill="1" applyBorder="1" applyAlignment="1">
      <alignment horizontal="right" vertical="center"/>
    </xf>
    <xf numFmtId="168" fontId="63" fillId="27" borderId="78" xfId="0" applyNumberFormat="1" applyFont="1" applyFill="1" applyBorder="1" applyAlignment="1">
      <alignment horizontal="right" vertical="center" wrapText="1"/>
    </xf>
    <xf numFmtId="3" fontId="16" fillId="22" borderId="68" xfId="4" applyNumberFormat="1" applyFont="1" applyFill="1" applyBorder="1" applyAlignment="1">
      <alignment horizontal="right" vertical="center"/>
    </xf>
    <xf numFmtId="175" fontId="94" fillId="27" borderId="28" xfId="0" applyNumberFormat="1" applyFont="1" applyFill="1" applyBorder="1" applyAlignment="1">
      <alignment horizontal="right" vertical="center"/>
    </xf>
    <xf numFmtId="175" fontId="94" fillId="27" borderId="0" xfId="0" applyNumberFormat="1" applyFont="1" applyFill="1" applyBorder="1" applyAlignment="1">
      <alignment horizontal="right" vertical="center"/>
    </xf>
    <xf numFmtId="170" fontId="17" fillId="19" borderId="0" xfId="12" applyNumberFormat="1" applyFont="1" applyFill="1" applyAlignment="1">
      <alignment vertical="center"/>
    </xf>
    <xf numFmtId="170" fontId="17" fillId="27" borderId="0" xfId="14" applyNumberFormat="1" applyFont="1" applyFill="1" applyAlignment="1">
      <alignment horizontal="right" vertical="center"/>
    </xf>
    <xf numFmtId="0" fontId="88" fillId="0" borderId="0" xfId="0" applyFont="1" applyFill="1" applyBorder="1" applyAlignment="1">
      <alignment vertical="center" wrapText="1"/>
    </xf>
    <xf numFmtId="0" fontId="88" fillId="0" borderId="0" xfId="0" applyFont="1" applyBorder="1" applyAlignment="1">
      <alignment vertical="center" wrapText="1"/>
    </xf>
    <xf numFmtId="173" fontId="16" fillId="0" borderId="41" xfId="0" applyNumberFormat="1" applyFont="1" applyBorder="1" applyAlignment="1">
      <alignment vertical="center"/>
    </xf>
    <xf numFmtId="175" fontId="94" fillId="27" borderId="20" xfId="0" applyNumberFormat="1" applyFont="1" applyFill="1" applyBorder="1" applyAlignment="1">
      <alignment horizontal="right" vertical="center"/>
    </xf>
    <xf numFmtId="175" fontId="94" fillId="27" borderId="0" xfId="0" applyNumberFormat="1" applyFont="1" applyFill="1" applyAlignment="1">
      <alignment horizontal="right" vertical="center"/>
    </xf>
    <xf numFmtId="3" fontId="94" fillId="27" borderId="0" xfId="0" applyNumberFormat="1" applyFont="1" applyFill="1" applyAlignment="1">
      <alignment horizontal="right" vertical="center"/>
    </xf>
    <xf numFmtId="3" fontId="94" fillId="27" borderId="0" xfId="0" applyNumberFormat="1" applyFont="1" applyFill="1" applyBorder="1" applyAlignment="1">
      <alignment horizontal="right" vertical="center"/>
    </xf>
    <xf numFmtId="3" fontId="94" fillId="27" borderId="28" xfId="0" applyNumberFormat="1" applyFont="1" applyFill="1" applyBorder="1" applyAlignment="1">
      <alignment horizontal="right" vertical="center"/>
    </xf>
    <xf numFmtId="3" fontId="94" fillId="27" borderId="20" xfId="0" applyNumberFormat="1" applyFont="1" applyFill="1" applyBorder="1" applyAlignment="1">
      <alignment horizontal="right" vertical="center"/>
    </xf>
    <xf numFmtId="3" fontId="36" fillId="19" borderId="1" xfId="4" applyNumberFormat="1" applyFont="1" applyFill="1" applyBorder="1" applyAlignment="1">
      <alignment horizontal="right" vertical="center"/>
    </xf>
    <xf numFmtId="3" fontId="17" fillId="19" borderId="137" xfId="4" applyNumberFormat="1" applyFont="1" applyFill="1" applyBorder="1" applyAlignment="1">
      <alignment horizontal="right" vertical="center"/>
    </xf>
    <xf numFmtId="3" fontId="17" fillId="19" borderId="7" xfId="4" applyNumberFormat="1" applyFont="1" applyFill="1" applyBorder="1" applyAlignment="1">
      <alignment horizontal="right" vertical="center"/>
    </xf>
    <xf numFmtId="3" fontId="17" fillId="19" borderId="134" xfId="4" applyNumberFormat="1" applyFont="1" applyFill="1" applyBorder="1" applyAlignment="1">
      <alignment horizontal="right" vertical="center"/>
    </xf>
    <xf numFmtId="0" fontId="63" fillId="0" borderId="74" xfId="0" applyFont="1" applyFill="1" applyBorder="1" applyAlignment="1">
      <alignment vertical="center" wrapText="1"/>
    </xf>
    <xf numFmtId="0" fontId="64" fillId="0" borderId="74" xfId="0" applyFont="1" applyFill="1" applyBorder="1" applyAlignment="1">
      <alignment horizontal="center" vertical="center" wrapText="1"/>
    </xf>
    <xf numFmtId="0" fontId="63" fillId="0" borderId="74" xfId="0" applyFont="1" applyFill="1" applyBorder="1" applyAlignment="1">
      <alignment horizontal="center" vertical="center" wrapText="1"/>
    </xf>
    <xf numFmtId="0" fontId="64" fillId="0" borderId="95" xfId="0" applyFont="1" applyFill="1" applyBorder="1" applyAlignment="1">
      <alignment vertical="center" wrapText="1"/>
    </xf>
    <xf numFmtId="3" fontId="9" fillId="27" borderId="148" xfId="0" applyNumberFormat="1" applyFont="1" applyFill="1" applyBorder="1" applyAlignment="1">
      <alignment vertical="center"/>
    </xf>
    <xf numFmtId="3" fontId="9" fillId="27" borderId="74" xfId="0" applyNumberFormat="1" applyFont="1" applyFill="1" applyBorder="1" applyAlignment="1">
      <alignment vertical="center"/>
    </xf>
    <xf numFmtId="3" fontId="6" fillId="27" borderId="95" xfId="0" applyNumberFormat="1" applyFont="1" applyFill="1" applyBorder="1" applyAlignment="1">
      <alignment vertical="center"/>
    </xf>
    <xf numFmtId="3" fontId="6" fillId="27" borderId="147" xfId="0" applyNumberFormat="1" applyFont="1" applyFill="1" applyBorder="1" applyAlignment="1">
      <alignment vertical="center"/>
    </xf>
    <xf numFmtId="3" fontId="6" fillId="27" borderId="148" xfId="0" applyNumberFormat="1" applyFont="1" applyFill="1" applyBorder="1" applyAlignment="1">
      <alignment vertical="center"/>
    </xf>
    <xf numFmtId="3" fontId="6" fillId="27" borderId="96" xfId="0" applyNumberFormat="1" applyFont="1" applyFill="1" applyBorder="1" applyAlignment="1">
      <alignment vertical="center"/>
    </xf>
    <xf numFmtId="3" fontId="6" fillId="27" borderId="149" xfId="0" applyNumberFormat="1" applyFont="1" applyFill="1" applyBorder="1" applyAlignment="1">
      <alignment vertical="center"/>
    </xf>
    <xf numFmtId="168" fontId="63" fillId="27" borderId="151" xfId="0" applyNumberFormat="1" applyFont="1" applyFill="1" applyBorder="1" applyAlignment="1">
      <alignment horizontal="right" vertical="center" wrapText="1"/>
    </xf>
    <xf numFmtId="176" fontId="63" fillId="0" borderId="74" xfId="0" applyNumberFormat="1" applyFont="1" applyFill="1" applyBorder="1" applyAlignment="1">
      <alignment vertical="center"/>
    </xf>
    <xf numFmtId="176" fontId="63" fillId="0" borderId="75" xfId="0" quotePrefix="1" applyNumberFormat="1" applyFont="1" applyFill="1" applyBorder="1" applyAlignment="1">
      <alignment vertical="center"/>
    </xf>
    <xf numFmtId="0" fontId="64" fillId="25" borderId="95" xfId="0" applyFont="1" applyFill="1" applyBorder="1" applyAlignment="1">
      <alignment horizontal="center" vertical="center"/>
    </xf>
    <xf numFmtId="0" fontId="64" fillId="25" borderId="96" xfId="0" applyFont="1" applyFill="1" applyBorder="1" applyAlignment="1">
      <alignment horizontal="center" vertical="center"/>
    </xf>
    <xf numFmtId="3" fontId="63" fillId="25" borderId="0" xfId="0" applyNumberFormat="1" applyFont="1" applyFill="1" applyAlignment="1">
      <alignment horizontal="center" vertical="center"/>
    </xf>
    <xf numFmtId="3" fontId="31" fillId="0" borderId="28" xfId="0" applyNumberFormat="1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175" fontId="46" fillId="0" borderId="0" xfId="0" applyNumberFormat="1" applyFont="1" applyFill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2" fontId="46" fillId="0" borderId="0" xfId="0" applyNumberFormat="1" applyFont="1" applyFill="1" applyAlignment="1">
      <alignment vertical="center" wrapText="1"/>
    </xf>
    <xf numFmtId="0" fontId="46" fillId="0" borderId="0" xfId="0" applyFont="1" applyFill="1" applyAlignment="1">
      <alignment vertical="center" wrapText="1"/>
    </xf>
    <xf numFmtId="2" fontId="46" fillId="0" borderId="0" xfId="0" applyNumberFormat="1" applyFont="1" applyFill="1" applyAlignment="1">
      <alignment vertical="center"/>
    </xf>
    <xf numFmtId="165" fontId="46" fillId="0" borderId="0" xfId="0" applyNumberFormat="1" applyFont="1" applyBorder="1" applyAlignment="1">
      <alignment horizontal="right" vertical="center"/>
    </xf>
    <xf numFmtId="0" fontId="46" fillId="0" borderId="28" xfId="0" applyFont="1" applyBorder="1" applyAlignment="1">
      <alignment vertical="center"/>
    </xf>
    <xf numFmtId="0" fontId="46" fillId="0" borderId="28" xfId="0" applyFont="1" applyBorder="1" applyAlignment="1">
      <alignment horizontal="right" vertical="center"/>
    </xf>
    <xf numFmtId="0" fontId="46" fillId="0" borderId="28" xfId="0" applyFont="1" applyFill="1" applyBorder="1" applyAlignment="1">
      <alignment vertical="center" wrapText="1"/>
    </xf>
    <xf numFmtId="175" fontId="46" fillId="0" borderId="28" xfId="0" applyNumberFormat="1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175" fontId="32" fillId="0" borderId="0" xfId="0" applyNumberFormat="1" applyFont="1" applyAlignment="1">
      <alignment vertical="center"/>
    </xf>
    <xf numFmtId="3" fontId="31" fillId="19" borderId="28" xfId="0" applyNumberFormat="1" applyFont="1" applyFill="1" applyBorder="1" applyAlignment="1">
      <alignment vertical="center"/>
    </xf>
    <xf numFmtId="175" fontId="31" fillId="0" borderId="0" xfId="0" applyNumberFormat="1" applyFont="1" applyBorder="1" applyAlignment="1">
      <alignment vertical="center"/>
    </xf>
    <xf numFmtId="0" fontId="46" fillId="0" borderId="43" xfId="0" applyFont="1" applyBorder="1" applyAlignment="1">
      <alignment vertical="center"/>
    </xf>
    <xf numFmtId="0" fontId="46" fillId="0" borderId="45" xfId="0" applyFont="1" applyBorder="1" applyAlignment="1">
      <alignment horizontal="right" vertical="center"/>
    </xf>
    <xf numFmtId="175" fontId="31" fillId="0" borderId="28" xfId="0" applyNumberFormat="1" applyFont="1" applyBorder="1" applyAlignment="1">
      <alignment vertical="center"/>
    </xf>
    <xf numFmtId="0" fontId="46" fillId="0" borderId="63" xfId="0" applyFont="1" applyBorder="1" applyAlignment="1">
      <alignment vertical="center"/>
    </xf>
    <xf numFmtId="0" fontId="46" fillId="0" borderId="73" xfId="0" applyFont="1" applyBorder="1" applyAlignment="1">
      <alignment horizontal="right" vertical="center"/>
    </xf>
    <xf numFmtId="175" fontId="46" fillId="19" borderId="0" xfId="0" applyNumberFormat="1" applyFont="1" applyFill="1" applyAlignment="1">
      <alignment vertical="center"/>
    </xf>
    <xf numFmtId="2" fontId="46" fillId="19" borderId="0" xfId="0" applyNumberFormat="1" applyFont="1" applyFill="1" applyAlignment="1">
      <alignment vertical="center"/>
    </xf>
    <xf numFmtId="175" fontId="46" fillId="19" borderId="28" xfId="0" applyNumberFormat="1" applyFont="1" applyFill="1" applyBorder="1" applyAlignment="1">
      <alignment vertical="center"/>
    </xf>
    <xf numFmtId="2" fontId="46" fillId="19" borderId="0" xfId="0" applyNumberFormat="1" applyFont="1" applyFill="1" applyAlignment="1">
      <alignment vertical="center" wrapText="1"/>
    </xf>
    <xf numFmtId="175" fontId="46" fillId="0" borderId="28" xfId="0" applyNumberFormat="1" applyFont="1" applyFill="1" applyBorder="1" applyAlignment="1">
      <alignment vertical="center"/>
    </xf>
    <xf numFmtId="0" fontId="46" fillId="0" borderId="43" xfId="0" applyFont="1" applyFill="1" applyBorder="1" applyAlignment="1">
      <alignment vertical="center" wrapText="1"/>
    </xf>
    <xf numFmtId="0" fontId="46" fillId="0" borderId="63" xfId="0" applyFont="1" applyFill="1" applyBorder="1" applyAlignment="1">
      <alignment vertical="center" wrapText="1"/>
    </xf>
    <xf numFmtId="0" fontId="32" fillId="0" borderId="73" xfId="0" applyFont="1" applyBorder="1" applyAlignment="1">
      <alignment horizontal="right" vertical="center"/>
    </xf>
    <xf numFmtId="175" fontId="32" fillId="0" borderId="73" xfId="0" applyNumberFormat="1" applyFont="1" applyBorder="1" applyAlignment="1">
      <alignment vertical="center"/>
    </xf>
    <xf numFmtId="0" fontId="46" fillId="0" borderId="0" xfId="0" applyFont="1" applyBorder="1" applyAlignment="1">
      <alignment horizontal="right" vertical="center"/>
    </xf>
    <xf numFmtId="174" fontId="46" fillId="0" borderId="0" xfId="0" applyNumberFormat="1" applyFont="1" applyFill="1" applyBorder="1" applyAlignment="1">
      <alignment vertical="center" wrapText="1"/>
    </xf>
    <xf numFmtId="174" fontId="46" fillId="0" borderId="28" xfId="0" applyNumberFormat="1" applyFont="1" applyFill="1" applyBorder="1" applyAlignment="1">
      <alignment vertical="center" wrapText="1"/>
    </xf>
    <xf numFmtId="174" fontId="31" fillId="19" borderId="0" xfId="0" applyNumberFormat="1" applyFont="1" applyFill="1" applyBorder="1" applyAlignment="1">
      <alignment vertical="center" wrapText="1"/>
    </xf>
    <xf numFmtId="174" fontId="31" fillId="19" borderId="28" xfId="0" applyNumberFormat="1" applyFont="1" applyFill="1" applyBorder="1" applyAlignment="1">
      <alignment vertical="center" wrapText="1"/>
    </xf>
    <xf numFmtId="174" fontId="46" fillId="19" borderId="0" xfId="0" applyNumberFormat="1" applyFont="1" applyFill="1" applyAlignment="1">
      <alignment vertical="center" wrapText="1"/>
    </xf>
    <xf numFmtId="174" fontId="46" fillId="19" borderId="28" xfId="0" applyNumberFormat="1" applyFont="1" applyFill="1" applyBorder="1" applyAlignment="1">
      <alignment vertical="center" wrapText="1"/>
    </xf>
    <xf numFmtId="174" fontId="46" fillId="0" borderId="0" xfId="0" applyNumberFormat="1" applyFont="1" applyFill="1" applyAlignment="1">
      <alignment vertical="center" wrapText="1"/>
    </xf>
    <xf numFmtId="173" fontId="63" fillId="0" borderId="144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center" vertical="center"/>
    </xf>
    <xf numFmtId="3" fontId="9" fillId="27" borderId="53" xfId="0" applyNumberFormat="1" applyFont="1" applyFill="1" applyBorder="1" applyAlignment="1">
      <alignment horizontal="right" vertical="center"/>
    </xf>
    <xf numFmtId="180" fontId="63" fillId="0" borderId="85" xfId="0" applyNumberFormat="1" applyFont="1" applyFill="1" applyBorder="1" applyAlignment="1">
      <alignment vertical="center"/>
    </xf>
    <xf numFmtId="0" fontId="64" fillId="0" borderId="74" xfId="0" applyFont="1" applyFill="1" applyBorder="1" applyAlignment="1">
      <alignment vertical="center" wrapText="1"/>
    </xf>
    <xf numFmtId="0" fontId="64" fillId="27" borderId="151" xfId="0" applyFont="1" applyFill="1" applyBorder="1" applyAlignment="1">
      <alignment horizontal="center" vertical="center" wrapText="1"/>
    </xf>
    <xf numFmtId="3" fontId="3" fillId="27" borderId="74" xfId="0" quotePrefix="1" applyNumberFormat="1" applyFont="1" applyFill="1" applyBorder="1" applyAlignment="1">
      <alignment horizontal="right" vertical="center"/>
    </xf>
    <xf numFmtId="3" fontId="55" fillId="0" borderId="74" xfId="0" applyNumberFormat="1" applyFont="1" applyFill="1" applyBorder="1" applyAlignment="1">
      <alignment vertical="center"/>
    </xf>
    <xf numFmtId="180" fontId="63" fillId="0" borderId="152" xfId="0" applyNumberFormat="1" applyFont="1" applyFill="1" applyBorder="1" applyAlignment="1">
      <alignment vertical="center"/>
    </xf>
    <xf numFmtId="180" fontId="63" fillId="0" borderId="74" xfId="0" applyNumberFormat="1" applyFont="1" applyFill="1" applyBorder="1" applyAlignment="1">
      <alignment vertical="center"/>
    </xf>
    <xf numFmtId="170" fontId="63" fillId="0" borderId="74" xfId="15" applyNumberFormat="1" applyFont="1" applyFill="1" applyBorder="1" applyAlignment="1">
      <alignment vertical="center"/>
    </xf>
    <xf numFmtId="172" fontId="63" fillId="0" borderId="74" xfId="0" applyNumberFormat="1" applyFont="1" applyFill="1" applyBorder="1" applyAlignment="1">
      <alignment vertical="center"/>
    </xf>
    <xf numFmtId="168" fontId="55" fillId="0" borderId="152" xfId="0" applyNumberFormat="1" applyFont="1" applyFill="1" applyBorder="1" applyAlignment="1">
      <alignment vertical="center"/>
    </xf>
    <xf numFmtId="168" fontId="6" fillId="0" borderId="74" xfId="0" applyNumberFormat="1" applyFont="1" applyFill="1" applyBorder="1" applyAlignment="1">
      <alignment horizontal="right" vertical="center"/>
    </xf>
    <xf numFmtId="3" fontId="9" fillId="27" borderId="75" xfId="0" applyNumberFormat="1" applyFont="1" applyFill="1" applyBorder="1" applyAlignment="1">
      <alignment horizontal="right" vertical="center"/>
    </xf>
    <xf numFmtId="172" fontId="6" fillId="0" borderId="75" xfId="0" applyNumberFormat="1" applyFont="1" applyFill="1" applyBorder="1" applyAlignment="1">
      <alignment vertical="center"/>
    </xf>
    <xf numFmtId="173" fontId="63" fillId="0" borderId="93" xfId="0" applyNumberFormat="1" applyFont="1" applyFill="1" applyBorder="1" applyAlignment="1">
      <alignment vertical="center"/>
    </xf>
    <xf numFmtId="0" fontId="63" fillId="0" borderId="53" xfId="0" quotePrefix="1" applyFont="1" applyFill="1" applyBorder="1" applyAlignment="1">
      <alignment horizontal="center" vertical="center" wrapText="1"/>
    </xf>
    <xf numFmtId="0" fontId="63" fillId="0" borderId="75" xfId="0" quotePrefix="1" applyFont="1" applyFill="1" applyBorder="1" applyAlignment="1">
      <alignment horizontal="center" vertical="center" wrapText="1"/>
    </xf>
    <xf numFmtId="0" fontId="64" fillId="0" borderId="75" xfId="0" quotePrefix="1" applyFont="1" applyFill="1" applyBorder="1" applyAlignment="1">
      <alignment vertical="center" wrapText="1"/>
    </xf>
    <xf numFmtId="3" fontId="2" fillId="27" borderId="91" xfId="0" quotePrefix="1" applyNumberFormat="1" applyFont="1" applyFill="1" applyBorder="1" applyAlignment="1">
      <alignment horizontal="right" vertical="center"/>
    </xf>
    <xf numFmtId="180" fontId="63" fillId="0" borderId="94" xfId="0" quotePrefix="1" applyNumberFormat="1" applyFont="1" applyFill="1" applyBorder="1" applyAlignment="1">
      <alignment vertical="center"/>
    </xf>
    <xf numFmtId="180" fontId="63" fillId="0" borderId="75" xfId="0" quotePrefix="1" applyNumberFormat="1" applyFont="1" applyFill="1" applyBorder="1" applyAlignment="1">
      <alignment vertical="center"/>
    </xf>
    <xf numFmtId="0" fontId="63" fillId="0" borderId="1" xfId="0" applyFont="1" applyFill="1" applyBorder="1" applyAlignment="1">
      <alignment vertical="center"/>
    </xf>
    <xf numFmtId="180" fontId="63" fillId="0" borderId="150" xfId="0" applyNumberFormat="1" applyFont="1" applyFill="1" applyBorder="1" applyAlignment="1">
      <alignment vertical="center"/>
    </xf>
    <xf numFmtId="180" fontId="63" fillId="0" borderId="44" xfId="0" applyNumberFormat="1" applyFont="1" applyFill="1" applyBorder="1" applyAlignment="1">
      <alignment vertical="center"/>
    </xf>
    <xf numFmtId="3" fontId="101" fillId="0" borderId="1" xfId="5" applyNumberFormat="1" applyFont="1" applyFill="1" applyBorder="1" applyAlignment="1" applyProtection="1">
      <alignment horizontal="right" vertical="center" wrapText="1"/>
    </xf>
    <xf numFmtId="3" fontId="101" fillId="0" borderId="1" xfId="5" applyNumberFormat="1" applyFont="1" applyFill="1" applyBorder="1" applyAlignment="1">
      <alignment horizontal="center" vertical="center"/>
    </xf>
    <xf numFmtId="3" fontId="101" fillId="27" borderId="53" xfId="5" applyNumberFormat="1" applyFont="1" applyFill="1" applyBorder="1" applyAlignment="1">
      <alignment horizontal="right" vertical="center"/>
    </xf>
    <xf numFmtId="3" fontId="28" fillId="0" borderId="11" xfId="5" applyNumberFormat="1" applyFont="1" applyFill="1" applyBorder="1" applyAlignment="1" applyProtection="1">
      <alignment horizontal="right" vertical="center" wrapText="1"/>
    </xf>
    <xf numFmtId="3" fontId="28" fillId="0" borderId="1" xfId="5" applyNumberFormat="1" applyFont="1" applyFill="1" applyBorder="1" applyAlignment="1">
      <alignment horizontal="center" vertical="center"/>
    </xf>
    <xf numFmtId="164" fontId="28" fillId="27" borderId="1" xfId="5" applyNumberFormat="1" applyFont="1" applyFill="1" applyBorder="1" applyAlignment="1">
      <alignment horizontal="right" vertical="center"/>
    </xf>
    <xf numFmtId="3" fontId="119" fillId="0" borderId="1" xfId="5" applyNumberFormat="1" applyFont="1" applyFill="1" applyBorder="1" applyAlignment="1" applyProtection="1">
      <alignment horizontal="right" vertical="center" wrapText="1"/>
    </xf>
    <xf numFmtId="3" fontId="28" fillId="0" borderId="1" xfId="5" applyNumberFormat="1" applyFont="1" applyFill="1" applyBorder="1" applyAlignment="1">
      <alignment horizontal="right" vertical="center"/>
    </xf>
    <xf numFmtId="49" fontId="15" fillId="0" borderId="11" xfId="5" applyNumberFormat="1" applyFont="1" applyFill="1" applyBorder="1" applyAlignment="1" applyProtection="1">
      <alignment horizontal="center" vertical="center"/>
    </xf>
    <xf numFmtId="3" fontId="17" fillId="0" borderId="1" xfId="5" applyNumberFormat="1" applyFont="1" applyFill="1" applyBorder="1" applyAlignment="1" applyProtection="1">
      <alignment horizontal="right" vertical="center"/>
    </xf>
    <xf numFmtId="168" fontId="46" fillId="19" borderId="0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11" borderId="73" xfId="0" applyFont="1" applyFill="1" applyBorder="1" applyAlignment="1" applyProtection="1">
      <alignment vertical="center"/>
    </xf>
    <xf numFmtId="0" fontId="16" fillId="0" borderId="26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horizontal="left" vertical="center"/>
    </xf>
    <xf numFmtId="172" fontId="16" fillId="0" borderId="28" xfId="0" applyNumberFormat="1" applyFont="1" applyBorder="1" applyAlignment="1">
      <alignment vertical="center"/>
    </xf>
    <xf numFmtId="172" fontId="46" fillId="0" borderId="0" xfId="0" applyNumberFormat="1" applyFont="1" applyBorder="1" applyAlignment="1">
      <alignment horizontal="right" vertical="center"/>
    </xf>
    <xf numFmtId="172" fontId="46" fillId="0" borderId="28" xfId="0" applyNumberFormat="1" applyFont="1" applyBorder="1" applyAlignment="1">
      <alignment horizontal="right" vertical="center"/>
    </xf>
    <xf numFmtId="172" fontId="16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168" fontId="16" fillId="0" borderId="0" xfId="0" applyNumberFormat="1" applyFont="1" applyFill="1" applyAlignment="1">
      <alignment vertical="center"/>
    </xf>
    <xf numFmtId="175" fontId="16" fillId="0" borderId="0" xfId="0" applyNumberFormat="1" applyFont="1" applyFill="1" applyAlignment="1">
      <alignment vertical="center"/>
    </xf>
    <xf numFmtId="0" fontId="89" fillId="0" borderId="0" xfId="0" applyFont="1"/>
    <xf numFmtId="4" fontId="16" fillId="21" borderId="153" xfId="5" applyNumberFormat="1" applyFont="1" applyFill="1" applyBorder="1" applyAlignment="1">
      <alignment horizontal="right" vertical="center"/>
    </xf>
    <xf numFmtId="0" fontId="16" fillId="0" borderId="111" xfId="5" applyFont="1" applyBorder="1" applyAlignment="1">
      <alignment horizontal="left" vertical="center"/>
    </xf>
    <xf numFmtId="3" fontId="16" fillId="21" borderId="111" xfId="5" applyNumberFormat="1" applyFont="1" applyFill="1" applyBorder="1" applyAlignment="1">
      <alignment horizontal="right" vertical="center"/>
    </xf>
    <xf numFmtId="3" fontId="16" fillId="0" borderId="154" xfId="5" applyNumberFormat="1" applyFont="1" applyFill="1" applyBorder="1" applyAlignment="1">
      <alignment horizontal="right" vertical="center"/>
    </xf>
    <xf numFmtId="3" fontId="16" fillId="27" borderId="111" xfId="5" applyNumberFormat="1" applyFont="1" applyFill="1" applyBorder="1" applyAlignment="1">
      <alignment horizontal="right" vertical="center"/>
    </xf>
    <xf numFmtId="4" fontId="16" fillId="21" borderId="148" xfId="5" applyNumberFormat="1" applyFont="1" applyFill="1" applyBorder="1" applyAlignment="1">
      <alignment horizontal="right" vertical="center"/>
    </xf>
    <xf numFmtId="3" fontId="16" fillId="0" borderId="151" xfId="5" applyNumberFormat="1" applyFont="1" applyFill="1" applyBorder="1" applyAlignment="1">
      <alignment horizontal="right" vertical="center"/>
    </xf>
    <xf numFmtId="3" fontId="56" fillId="0" borderId="0" xfId="0" applyNumberFormat="1" applyFont="1" applyAlignment="1">
      <alignment vertical="center"/>
    </xf>
    <xf numFmtId="3" fontId="16" fillId="27" borderId="74" xfId="5" applyNumberFormat="1" applyFont="1" applyFill="1" applyBorder="1" applyAlignment="1">
      <alignment horizontal="right" vertical="center"/>
    </xf>
    <xf numFmtId="3" fontId="17" fillId="0" borderId="0" xfId="5" applyNumberFormat="1" applyFont="1" applyAlignment="1">
      <alignment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03" fillId="17" borderId="29" xfId="5" applyFont="1" applyFill="1" applyBorder="1" applyAlignment="1">
      <alignment horizontal="center" vertical="center"/>
    </xf>
    <xf numFmtId="0" fontId="103" fillId="17" borderId="2" xfId="5" applyFont="1" applyFill="1" applyBorder="1" applyAlignment="1">
      <alignment horizontal="center" vertical="center"/>
    </xf>
    <xf numFmtId="0" fontId="103" fillId="17" borderId="30" xfId="5" applyFont="1" applyFill="1" applyBorder="1" applyAlignment="1">
      <alignment horizontal="center" vertical="center"/>
    </xf>
    <xf numFmtId="0" fontId="103" fillId="17" borderId="61" xfId="5" applyFont="1" applyFill="1" applyBorder="1" applyAlignment="1">
      <alignment horizontal="center" vertical="center"/>
    </xf>
    <xf numFmtId="0" fontId="103" fillId="17" borderId="28" xfId="5" applyFont="1" applyFill="1" applyBorder="1" applyAlignment="1">
      <alignment horizontal="center" vertical="center"/>
    </xf>
    <xf numFmtId="0" fontId="103" fillId="17" borderId="101" xfId="5" applyFont="1" applyFill="1" applyBorder="1" applyAlignment="1">
      <alignment horizontal="center" vertical="center"/>
    </xf>
    <xf numFmtId="0" fontId="17" fillId="0" borderId="38" xfId="5" applyFont="1" applyBorder="1" applyAlignment="1">
      <alignment horizontal="center" vertical="center" wrapText="1"/>
    </xf>
    <xf numFmtId="0" fontId="17" fillId="0" borderId="0" xfId="5" applyFont="1" applyBorder="1" applyAlignment="1">
      <alignment horizontal="center" vertical="center" wrapText="1"/>
    </xf>
    <xf numFmtId="3" fontId="17" fillId="0" borderId="38" xfId="5" applyNumberFormat="1" applyFont="1" applyFill="1" applyBorder="1" applyAlignment="1">
      <alignment horizontal="center" vertical="center"/>
    </xf>
    <xf numFmtId="3" fontId="17" fillId="0" borderId="0" xfId="5" applyNumberFormat="1" applyFont="1" applyFill="1" applyBorder="1" applyAlignment="1">
      <alignment horizontal="center" vertical="center"/>
    </xf>
    <xf numFmtId="0" fontId="44" fillId="0" borderId="2" xfId="5" applyFont="1" applyFill="1" applyBorder="1" applyAlignment="1">
      <alignment horizontal="right" vertical="center"/>
    </xf>
    <xf numFmtId="0" fontId="44" fillId="0" borderId="0" xfId="5" applyFont="1" applyFill="1" applyBorder="1" applyAlignment="1">
      <alignment horizontal="right" vertical="center"/>
    </xf>
    <xf numFmtId="0" fontId="103" fillId="17" borderId="29" xfId="5" quotePrefix="1" applyNumberFormat="1" applyFont="1" applyFill="1" applyBorder="1" applyAlignment="1">
      <alignment horizontal="center" vertical="center"/>
    </xf>
    <xf numFmtId="0" fontId="103" fillId="17" borderId="2" xfId="5" quotePrefix="1" applyNumberFormat="1" applyFont="1" applyFill="1" applyBorder="1" applyAlignment="1">
      <alignment horizontal="center" vertical="center"/>
    </xf>
    <xf numFmtId="0" fontId="103" fillId="17" borderId="30" xfId="5" quotePrefix="1" applyNumberFormat="1" applyFont="1" applyFill="1" applyBorder="1" applyAlignment="1">
      <alignment horizontal="center" vertical="center"/>
    </xf>
    <xf numFmtId="0" fontId="103" fillId="17" borderId="61" xfId="5" quotePrefix="1" applyNumberFormat="1" applyFont="1" applyFill="1" applyBorder="1" applyAlignment="1">
      <alignment horizontal="center" vertical="center"/>
    </xf>
    <xf numFmtId="0" fontId="103" fillId="17" borderId="28" xfId="5" quotePrefix="1" applyNumberFormat="1" applyFont="1" applyFill="1" applyBorder="1" applyAlignment="1">
      <alignment horizontal="center" vertical="center"/>
    </xf>
    <xf numFmtId="0" fontId="103" fillId="17" borderId="101" xfId="5" quotePrefix="1" applyNumberFormat="1" applyFont="1" applyFill="1" applyBorder="1" applyAlignment="1">
      <alignment horizontal="center" vertical="center"/>
    </xf>
    <xf numFmtId="0" fontId="44" fillId="0" borderId="17" xfId="5" applyFont="1" applyFill="1" applyBorder="1" applyAlignment="1">
      <alignment horizontal="right" vertical="center"/>
    </xf>
    <xf numFmtId="0" fontId="44" fillId="0" borderId="47" xfId="5" applyFont="1" applyFill="1" applyBorder="1" applyAlignment="1">
      <alignment horizontal="right" vertical="center"/>
    </xf>
    <xf numFmtId="0" fontId="16" fillId="0" borderId="18" xfId="5" applyFont="1" applyBorder="1" applyAlignment="1">
      <alignment horizontal="left" vertical="center" wrapText="1"/>
    </xf>
    <xf numFmtId="0" fontId="16" fillId="0" borderId="13" xfId="5" applyFont="1" applyBorder="1" applyAlignment="1">
      <alignment horizontal="left" vertical="center" wrapText="1"/>
    </xf>
    <xf numFmtId="0" fontId="16" fillId="0" borderId="18" xfId="5" applyFont="1" applyBorder="1" applyAlignment="1">
      <alignment horizontal="left" vertical="center"/>
    </xf>
    <xf numFmtId="0" fontId="16" fillId="0" borderId="13" xfId="5" applyFont="1" applyBorder="1" applyAlignment="1">
      <alignment horizontal="left" vertical="center"/>
    </xf>
    <xf numFmtId="0" fontId="17" fillId="26" borderId="143" xfId="5" applyFont="1" applyFill="1" applyBorder="1" applyAlignment="1">
      <alignment horizontal="left" vertical="center"/>
    </xf>
    <xf numFmtId="0" fontId="17" fillId="26" borderId="97" xfId="5" applyFont="1" applyFill="1" applyBorder="1" applyAlignment="1">
      <alignment horizontal="left" vertical="center"/>
    </xf>
    <xf numFmtId="0" fontId="16" fillId="0" borderId="112" xfId="5" applyFont="1" applyFill="1" applyBorder="1" applyAlignment="1">
      <alignment horizontal="left" vertical="center" wrapText="1"/>
    </xf>
    <xf numFmtId="0" fontId="16" fillId="0" borderId="50" xfId="5" applyFont="1" applyFill="1" applyBorder="1" applyAlignment="1">
      <alignment horizontal="left" vertical="center" wrapText="1"/>
    </xf>
    <xf numFmtId="0" fontId="45" fillId="17" borderId="49" xfId="5" applyFont="1" applyFill="1" applyBorder="1" applyAlignment="1">
      <alignment horizontal="center" vertical="center"/>
    </xf>
    <xf numFmtId="0" fontId="45" fillId="17" borderId="50" xfId="5" applyFont="1" applyFill="1" applyBorder="1" applyAlignment="1">
      <alignment horizontal="center" vertical="center"/>
    </xf>
    <xf numFmtId="0" fontId="45" fillId="17" borderId="51" xfId="5" applyFont="1" applyFill="1" applyBorder="1" applyAlignment="1">
      <alignment horizontal="center" vertical="center"/>
    </xf>
    <xf numFmtId="0" fontId="16" fillId="0" borderId="112" xfId="5" applyFont="1" applyFill="1" applyBorder="1" applyAlignment="1">
      <alignment horizontal="left" vertical="center"/>
    </xf>
    <xf numFmtId="0" fontId="16" fillId="0" borderId="50" xfId="5" applyFont="1" applyFill="1" applyBorder="1" applyAlignment="1">
      <alignment horizontal="left" vertical="center"/>
    </xf>
    <xf numFmtId="0" fontId="16" fillId="0" borderId="113" xfId="5" applyFont="1" applyFill="1" applyBorder="1" applyAlignment="1">
      <alignment horizontal="left" vertical="center"/>
    </xf>
    <xf numFmtId="0" fontId="16" fillId="0" borderId="113" xfId="5" applyFont="1" applyFill="1" applyBorder="1" applyAlignment="1">
      <alignment horizontal="left" vertical="center" wrapText="1"/>
    </xf>
    <xf numFmtId="0" fontId="26" fillId="3" borderId="58" xfId="0" applyFont="1" applyFill="1" applyBorder="1" applyAlignment="1" applyProtection="1">
      <alignment horizontal="center" vertical="center" wrapText="1"/>
    </xf>
    <xf numFmtId="0" fontId="26" fillId="3" borderId="60" xfId="0" applyFont="1" applyFill="1" applyBorder="1" applyAlignment="1" applyProtection="1">
      <alignment horizontal="center" vertical="center" wrapText="1"/>
    </xf>
    <xf numFmtId="0" fontId="26" fillId="3" borderId="71" xfId="0" applyFont="1" applyFill="1" applyBorder="1" applyAlignment="1" applyProtection="1">
      <alignment horizontal="center" vertical="center" wrapText="1"/>
    </xf>
    <xf numFmtId="49" fontId="13" fillId="17" borderId="34" xfId="0" applyNumberFormat="1" applyFont="1" applyFill="1" applyBorder="1" applyAlignment="1" applyProtection="1">
      <alignment horizontal="left" vertical="center"/>
    </xf>
    <xf numFmtId="49" fontId="13" fillId="17" borderId="32" xfId="0" applyNumberFormat="1" applyFont="1" applyFill="1" applyBorder="1" applyAlignment="1" applyProtection="1">
      <alignment horizontal="left" vertical="center"/>
    </xf>
    <xf numFmtId="0" fontId="20" fillId="3" borderId="69" xfId="0" applyFont="1" applyFill="1" applyBorder="1" applyAlignment="1" applyProtection="1">
      <alignment horizontal="center" vertical="center"/>
    </xf>
    <xf numFmtId="0" fontId="20" fillId="3" borderId="35" xfId="0" applyFont="1" applyFill="1" applyBorder="1" applyAlignment="1" applyProtection="1">
      <alignment horizontal="center" vertical="center"/>
    </xf>
    <xf numFmtId="0" fontId="20" fillId="17" borderId="58" xfId="0" applyFont="1" applyFill="1" applyBorder="1" applyAlignment="1" applyProtection="1">
      <alignment horizontal="center" vertical="center" wrapText="1"/>
    </xf>
    <xf numFmtId="0" fontId="20" fillId="17" borderId="60" xfId="0" applyFont="1" applyFill="1" applyBorder="1" applyAlignment="1" applyProtection="1">
      <alignment horizontal="center" vertical="center" wrapText="1"/>
    </xf>
    <xf numFmtId="0" fontId="20" fillId="17" borderId="71" xfId="0" applyFont="1" applyFill="1" applyBorder="1" applyAlignment="1" applyProtection="1">
      <alignment horizontal="center" vertical="center" wrapText="1"/>
    </xf>
    <xf numFmtId="0" fontId="20" fillId="3" borderId="58" xfId="0" applyFont="1" applyFill="1" applyBorder="1" applyAlignment="1" applyProtection="1">
      <alignment horizontal="center" vertical="center" wrapText="1"/>
    </xf>
    <xf numFmtId="0" fontId="20" fillId="3" borderId="60" xfId="0" applyFont="1" applyFill="1" applyBorder="1" applyAlignment="1" applyProtection="1">
      <alignment horizontal="center" vertical="center" wrapText="1"/>
    </xf>
    <xf numFmtId="0" fontId="20" fillId="3" borderId="71" xfId="0" applyFont="1" applyFill="1" applyBorder="1" applyAlignment="1" applyProtection="1">
      <alignment horizontal="center" vertical="center" wrapText="1"/>
    </xf>
    <xf numFmtId="170" fontId="28" fillId="0" borderId="11" xfId="12" applyNumberFormat="1" applyFont="1" applyFill="1" applyBorder="1" applyAlignment="1" applyProtection="1">
      <alignment horizontal="right" vertical="center"/>
    </xf>
    <xf numFmtId="170" fontId="28" fillId="0" borderId="53" xfId="12" applyNumberFormat="1" applyFont="1" applyFill="1" applyBorder="1" applyAlignment="1" applyProtection="1">
      <alignment horizontal="right" vertical="center"/>
    </xf>
    <xf numFmtId="0" fontId="13" fillId="7" borderId="65" xfId="5" applyFont="1" applyFill="1" applyBorder="1" applyAlignment="1" applyProtection="1">
      <alignment horizontal="left" vertical="center"/>
    </xf>
    <xf numFmtId="0" fontId="13" fillId="7" borderId="60" xfId="5" applyFont="1" applyFill="1" applyBorder="1" applyAlignment="1" applyProtection="1">
      <alignment horizontal="left" vertical="center"/>
    </xf>
    <xf numFmtId="0" fontId="13" fillId="7" borderId="66" xfId="5" applyFont="1" applyFill="1" applyBorder="1" applyAlignment="1" applyProtection="1">
      <alignment horizontal="left" vertical="center"/>
    </xf>
    <xf numFmtId="0" fontId="20" fillId="17" borderId="31" xfId="5" applyFont="1" applyFill="1" applyBorder="1" applyAlignment="1" applyProtection="1">
      <alignment horizontal="center" vertical="center" wrapText="1"/>
    </xf>
    <xf numFmtId="0" fontId="20" fillId="17" borderId="33" xfId="5" applyFont="1" applyFill="1" applyBorder="1" applyAlignment="1" applyProtection="1">
      <alignment horizontal="center" vertical="center" wrapText="1"/>
    </xf>
    <xf numFmtId="0" fontId="13" fillId="17" borderId="31" xfId="5" applyFont="1" applyFill="1" applyBorder="1" applyAlignment="1" applyProtection="1">
      <alignment horizontal="center" vertical="center"/>
    </xf>
    <xf numFmtId="0" fontId="13" fillId="17" borderId="33" xfId="5" applyFont="1" applyFill="1" applyBorder="1" applyAlignment="1" applyProtection="1">
      <alignment horizontal="center" vertical="center"/>
    </xf>
    <xf numFmtId="170" fontId="28" fillId="0" borderId="44" xfId="12" applyNumberFormat="1" applyFont="1" applyFill="1" applyBorder="1" applyAlignment="1" applyProtection="1">
      <alignment horizontal="right" vertical="center"/>
    </xf>
    <xf numFmtId="170" fontId="28" fillId="0" borderId="33" xfId="12" applyNumberFormat="1" applyFont="1" applyFill="1" applyBorder="1" applyAlignment="1" applyProtection="1">
      <alignment horizontal="right" vertical="center"/>
    </xf>
    <xf numFmtId="3" fontId="28" fillId="0" borderId="44" xfId="5" applyNumberFormat="1" applyFont="1" applyFill="1" applyBorder="1" applyAlignment="1" applyProtection="1">
      <alignment horizontal="right" vertical="center" wrapText="1"/>
    </xf>
    <xf numFmtId="3" fontId="28" fillId="0" borderId="33" xfId="5" applyNumberFormat="1" applyFont="1" applyFill="1" applyBorder="1" applyAlignment="1" applyProtection="1">
      <alignment horizontal="right" vertical="center" wrapText="1"/>
    </xf>
    <xf numFmtId="3" fontId="28" fillId="0" borderId="44" xfId="5" applyNumberFormat="1" applyFont="1" applyFill="1" applyBorder="1" applyAlignment="1" applyProtection="1">
      <alignment horizontal="center" vertical="center"/>
    </xf>
    <xf numFmtId="3" fontId="28" fillId="0" borderId="33" xfId="5" applyNumberFormat="1" applyFont="1" applyFill="1" applyBorder="1" applyAlignment="1" applyProtection="1">
      <alignment horizontal="center" vertical="center"/>
    </xf>
    <xf numFmtId="0" fontId="13" fillId="30" borderId="65" xfId="5" applyFont="1" applyFill="1" applyBorder="1" applyAlignment="1" applyProtection="1">
      <alignment horizontal="left" vertical="center"/>
    </xf>
    <xf numFmtId="0" fontId="13" fillId="30" borderId="60" xfId="5" applyFont="1" applyFill="1" applyBorder="1" applyAlignment="1" applyProtection="1">
      <alignment horizontal="left" vertical="center"/>
    </xf>
    <xf numFmtId="0" fontId="13" fillId="30" borderId="66" xfId="5" applyFont="1" applyFill="1" applyBorder="1" applyAlignment="1" applyProtection="1">
      <alignment horizontal="left" vertical="center"/>
    </xf>
    <xf numFmtId="0" fontId="13" fillId="24" borderId="65" xfId="5" applyFont="1" applyFill="1" applyBorder="1" applyAlignment="1" applyProtection="1">
      <alignment horizontal="left" vertical="center"/>
    </xf>
    <xf numFmtId="0" fontId="13" fillId="24" borderId="60" xfId="5" applyFont="1" applyFill="1" applyBorder="1" applyAlignment="1" applyProtection="1">
      <alignment horizontal="left" vertical="center"/>
    </xf>
    <xf numFmtId="0" fontId="13" fillId="24" borderId="66" xfId="5" applyFont="1" applyFill="1" applyBorder="1" applyAlignment="1" applyProtection="1">
      <alignment horizontal="left" vertical="center"/>
    </xf>
    <xf numFmtId="49" fontId="15" fillId="0" borderId="44" xfId="5" applyNumberFormat="1" applyFont="1" applyFill="1" applyBorder="1" applyAlignment="1" applyProtection="1">
      <alignment horizontal="center" vertical="center"/>
    </xf>
    <xf numFmtId="49" fontId="15" fillId="0" borderId="33" xfId="5" applyNumberFormat="1" applyFont="1" applyFill="1" applyBorder="1" applyAlignment="1" applyProtection="1">
      <alignment horizontal="center" vertical="center"/>
    </xf>
    <xf numFmtId="0" fontId="13" fillId="17" borderId="34" xfId="5" applyFont="1" applyFill="1" applyBorder="1" applyAlignment="1" applyProtection="1">
      <alignment horizontal="center" vertical="center" wrapText="1"/>
    </xf>
    <xf numFmtId="0" fontId="13" fillId="17" borderId="32" xfId="5" applyFont="1" applyFill="1" applyBorder="1" applyAlignment="1" applyProtection="1">
      <alignment horizontal="center" vertical="center" wrapText="1"/>
    </xf>
    <xf numFmtId="0" fontId="13" fillId="17" borderId="10" xfId="5" applyFont="1" applyFill="1" applyBorder="1" applyAlignment="1" applyProtection="1">
      <alignment horizontal="center" vertical="center" wrapText="1"/>
    </xf>
    <xf numFmtId="0" fontId="13" fillId="17" borderId="6" xfId="5" applyFont="1" applyFill="1" applyBorder="1" applyAlignment="1" applyProtection="1">
      <alignment horizontal="center" vertical="center" wrapText="1"/>
    </xf>
    <xf numFmtId="166" fontId="18" fillId="0" borderId="0" xfId="5" applyNumberFormat="1" applyFont="1" applyFill="1" applyAlignment="1" applyProtection="1">
      <alignment horizontal="center" vertical="center"/>
    </xf>
    <xf numFmtId="166" fontId="86" fillId="0" borderId="0" xfId="0" applyNumberFormat="1" applyFont="1" applyFill="1" applyAlignment="1" applyProtection="1">
      <alignment horizontal="left" vertical="center"/>
    </xf>
    <xf numFmtId="0" fontId="13" fillId="17" borderId="71" xfId="5" applyFont="1" applyFill="1" applyBorder="1" applyAlignment="1" applyProtection="1">
      <alignment horizontal="center" vertical="center" wrapText="1"/>
    </xf>
    <xf numFmtId="0" fontId="13" fillId="17" borderId="141" xfId="5" applyFont="1" applyFill="1" applyBorder="1" applyAlignment="1" applyProtection="1">
      <alignment horizontal="center" vertical="center" wrapText="1"/>
    </xf>
    <xf numFmtId="0" fontId="16" fillId="0" borderId="45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</xf>
    <xf numFmtId="0" fontId="15" fillId="0" borderId="45" xfId="5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center" vertical="center"/>
    </xf>
    <xf numFmtId="49" fontId="15" fillId="0" borderId="11" xfId="5" applyNumberFormat="1" applyFont="1" applyFill="1" applyBorder="1" applyAlignment="1" applyProtection="1">
      <alignment horizontal="center" vertical="center"/>
    </xf>
    <xf numFmtId="49" fontId="15" fillId="0" borderId="53" xfId="5" applyNumberFormat="1" applyFont="1" applyFill="1" applyBorder="1" applyAlignment="1" applyProtection="1">
      <alignment horizontal="center" vertical="center"/>
    </xf>
    <xf numFmtId="3" fontId="28" fillId="0" borderId="11" xfId="5" applyNumberFormat="1" applyFont="1" applyFill="1" applyBorder="1" applyAlignment="1" applyProtection="1">
      <alignment horizontal="right" vertical="center" wrapText="1"/>
    </xf>
    <xf numFmtId="3" fontId="28" fillId="0" borderId="53" xfId="5" applyNumberFormat="1" applyFont="1" applyFill="1" applyBorder="1" applyAlignment="1" applyProtection="1">
      <alignment horizontal="right" vertical="center" wrapText="1"/>
    </xf>
    <xf numFmtId="3" fontId="28" fillId="0" borderId="11" xfId="5" applyNumberFormat="1" applyFont="1" applyFill="1" applyBorder="1" applyAlignment="1" applyProtection="1">
      <alignment horizontal="center" vertical="center"/>
    </xf>
    <xf numFmtId="3" fontId="28" fillId="0" borderId="53" xfId="5" applyNumberFormat="1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right" vertical="center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3" fontId="17" fillId="9" borderId="99" xfId="0" applyNumberFormat="1" applyFont="1" applyFill="1" applyBorder="1" applyAlignment="1" applyProtection="1">
      <alignment horizontal="center" vertical="center" wrapText="1"/>
    </xf>
    <xf numFmtId="3" fontId="17" fillId="9" borderId="20" xfId="0" applyNumberFormat="1" applyFont="1" applyFill="1" applyBorder="1" applyAlignment="1" applyProtection="1">
      <alignment horizontal="center" vertical="center" wrapText="1"/>
    </xf>
    <xf numFmtId="3" fontId="17" fillId="9" borderId="64" xfId="0" applyNumberFormat="1" applyFont="1" applyFill="1" applyBorder="1" applyAlignment="1" applyProtection="1">
      <alignment horizontal="center" vertical="center" wrapText="1"/>
    </xf>
    <xf numFmtId="3" fontId="17" fillId="9" borderId="38" xfId="0" applyNumberFormat="1" applyFont="1" applyFill="1" applyBorder="1" applyAlignment="1" applyProtection="1">
      <alignment horizontal="center" vertical="center" wrapText="1"/>
    </xf>
    <xf numFmtId="3" fontId="17" fillId="9" borderId="0" xfId="0" applyNumberFormat="1" applyFont="1" applyFill="1" applyBorder="1" applyAlignment="1" applyProtection="1">
      <alignment horizontal="center" vertical="center" wrapText="1"/>
    </xf>
    <xf numFmtId="3" fontId="17" fillId="9" borderId="43" xfId="0" applyNumberFormat="1" applyFont="1" applyFill="1" applyBorder="1" applyAlignment="1" applyProtection="1">
      <alignment horizontal="center" vertical="center" wrapText="1"/>
    </xf>
    <xf numFmtId="3" fontId="17" fillId="9" borderId="40" xfId="0" applyNumberFormat="1" applyFont="1" applyFill="1" applyBorder="1" applyAlignment="1" applyProtection="1">
      <alignment horizontal="center" vertical="center" wrapText="1"/>
    </xf>
    <xf numFmtId="3" fontId="17" fillId="9" borderId="41" xfId="0" applyNumberFormat="1" applyFont="1" applyFill="1" applyBorder="1" applyAlignment="1" applyProtection="1">
      <alignment horizontal="center" vertical="center" wrapText="1"/>
    </xf>
    <xf numFmtId="3" fontId="17" fillId="9" borderId="36" xfId="0" applyNumberFormat="1" applyFont="1" applyFill="1" applyBorder="1" applyAlignment="1" applyProtection="1">
      <alignment horizontal="center" vertical="center" wrapText="1"/>
    </xf>
    <xf numFmtId="0" fontId="17" fillId="11" borderId="58" xfId="0" applyFont="1" applyFill="1" applyBorder="1" applyAlignment="1" applyProtection="1">
      <alignment horizontal="left" vertical="center"/>
      <protection locked="0"/>
    </xf>
    <xf numFmtId="0" fontId="17" fillId="11" borderId="60" xfId="0" applyFont="1" applyFill="1" applyBorder="1" applyAlignment="1" applyProtection="1">
      <alignment horizontal="left" vertical="center"/>
      <protection locked="0"/>
    </xf>
    <xf numFmtId="0" fontId="17" fillId="11" borderId="3" xfId="0" applyFont="1" applyFill="1" applyBorder="1" applyAlignment="1" applyProtection="1">
      <alignment horizontal="left" vertical="center" wrapText="1"/>
      <protection locked="0"/>
    </xf>
    <xf numFmtId="0" fontId="17" fillId="11" borderId="7" xfId="0" applyFont="1" applyFill="1" applyBorder="1" applyAlignment="1" applyProtection="1">
      <alignment horizontal="left" vertical="center" wrapText="1"/>
      <protection locked="0"/>
    </xf>
    <xf numFmtId="0" fontId="17" fillId="11" borderId="17" xfId="0" applyFont="1" applyFill="1" applyBorder="1" applyAlignment="1" applyProtection="1">
      <alignment horizontal="left" vertical="center" wrapText="1"/>
      <protection locked="0"/>
    </xf>
    <xf numFmtId="0" fontId="17" fillId="11" borderId="16" xfId="0" applyFont="1" applyFill="1" applyBorder="1" applyAlignment="1" applyProtection="1">
      <alignment horizontal="left" vertical="center" wrapText="1"/>
      <protection locked="0"/>
    </xf>
    <xf numFmtId="0" fontId="17" fillId="0" borderId="41" xfId="0" applyFont="1" applyFill="1" applyBorder="1" applyAlignment="1" applyProtection="1">
      <alignment horizontal="left" vertical="center"/>
    </xf>
    <xf numFmtId="0" fontId="17" fillId="3" borderId="71" xfId="0" applyFont="1" applyFill="1" applyBorder="1" applyAlignment="1" applyProtection="1">
      <alignment horizontal="center" vertical="center" wrapText="1"/>
      <protection locked="0"/>
    </xf>
    <xf numFmtId="0" fontId="17" fillId="3" borderId="68" xfId="0" applyFont="1" applyFill="1" applyBorder="1" applyAlignment="1" applyProtection="1">
      <alignment horizontal="center" vertical="center" wrapText="1"/>
      <protection locked="0"/>
    </xf>
    <xf numFmtId="0" fontId="17" fillId="3" borderId="14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43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0" fontId="17" fillId="0" borderId="63" xfId="0" applyFont="1" applyFill="1" applyBorder="1" applyAlignment="1" applyProtection="1">
      <alignment horizontal="center" vertical="center"/>
    </xf>
    <xf numFmtId="0" fontId="17" fillId="0" borderId="45" xfId="0" applyFont="1" applyFill="1" applyBorder="1" applyAlignment="1" applyProtection="1">
      <alignment horizontal="center" vertical="center"/>
    </xf>
    <xf numFmtId="0" fontId="17" fillId="0" borderId="73" xfId="0" applyFont="1" applyFill="1" applyBorder="1" applyAlignment="1" applyProtection="1">
      <alignment horizontal="center" vertical="center"/>
    </xf>
    <xf numFmtId="49" fontId="17" fillId="3" borderId="9" xfId="0" applyNumberFormat="1" applyFont="1" applyFill="1" applyBorder="1" applyAlignment="1" applyProtection="1">
      <alignment horizontal="center" vertical="center" wrapText="1"/>
    </xf>
    <xf numFmtId="49" fontId="17" fillId="3" borderId="3" xfId="0" applyNumberFormat="1" applyFont="1" applyFill="1" applyBorder="1" applyAlignment="1" applyProtection="1">
      <alignment horizontal="center" vertical="center" wrapText="1"/>
    </xf>
    <xf numFmtId="49" fontId="17" fillId="3" borderId="5" xfId="0" applyNumberFormat="1" applyFont="1" applyFill="1" applyBorder="1" applyAlignment="1" applyProtection="1">
      <alignment horizontal="center" vertical="center" wrapText="1"/>
    </xf>
    <xf numFmtId="49" fontId="45" fillId="3" borderId="69" xfId="0" applyNumberFormat="1" applyFont="1" applyFill="1" applyBorder="1" applyAlignment="1" applyProtection="1">
      <alignment horizontal="center" vertical="center" wrapText="1"/>
    </xf>
    <xf numFmtId="49" fontId="45" fillId="3" borderId="45" xfId="0" applyNumberFormat="1" applyFont="1" applyFill="1" applyBorder="1" applyAlignment="1" applyProtection="1">
      <alignment horizontal="center" vertical="center" wrapText="1"/>
    </xf>
    <xf numFmtId="0" fontId="17" fillId="3" borderId="66" xfId="0" applyFont="1" applyFill="1" applyBorder="1" applyAlignment="1" applyProtection="1">
      <alignment horizontal="center" vertical="center" wrapText="1"/>
      <protection locked="0"/>
    </xf>
    <xf numFmtId="0" fontId="17" fillId="3" borderId="47" xfId="0" applyFont="1" applyFill="1" applyBorder="1" applyAlignment="1" applyProtection="1">
      <alignment horizontal="center" vertical="center" wrapText="1"/>
      <protection locked="0"/>
    </xf>
    <xf numFmtId="0" fontId="17" fillId="3" borderId="48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  <protection locked="0"/>
    </xf>
    <xf numFmtId="0" fontId="99" fillId="17" borderId="130" xfId="4" applyNumberFormat="1" applyFont="1" applyFill="1" applyBorder="1" applyAlignment="1">
      <alignment horizontal="center" vertical="center"/>
    </xf>
    <xf numFmtId="0" fontId="99" fillId="17" borderId="22" xfId="4" applyNumberFormat="1" applyFont="1" applyFill="1" applyBorder="1" applyAlignment="1">
      <alignment horizontal="center" vertical="center"/>
    </xf>
    <xf numFmtId="0" fontId="99" fillId="17" borderId="131" xfId="4" applyNumberFormat="1" applyFont="1" applyFill="1" applyBorder="1" applyAlignment="1">
      <alignment horizontal="center" vertical="center"/>
    </xf>
    <xf numFmtId="0" fontId="36" fillId="17" borderId="116" xfId="4" applyNumberFormat="1" applyFont="1" applyFill="1" applyBorder="1" applyAlignment="1">
      <alignment horizontal="center" vertical="center" wrapText="1"/>
    </xf>
    <xf numFmtId="0" fontId="36" fillId="17" borderId="60" xfId="4" applyNumberFormat="1" applyFont="1" applyFill="1" applyBorder="1" applyAlignment="1">
      <alignment horizontal="center" vertical="center" wrapText="1"/>
    </xf>
    <xf numFmtId="0" fontId="36" fillId="17" borderId="71" xfId="4" applyNumberFormat="1" applyFont="1" applyFill="1" applyBorder="1" applyAlignment="1">
      <alignment horizontal="center" vertical="center" wrapText="1"/>
    </xf>
    <xf numFmtId="0" fontId="17" fillId="17" borderId="58" xfId="4" applyNumberFormat="1" applyFont="1" applyFill="1" applyBorder="1" applyAlignment="1">
      <alignment horizontal="center" vertical="center" wrapText="1"/>
    </xf>
    <xf numFmtId="0" fontId="17" fillId="17" borderId="60" xfId="4" applyNumberFormat="1" applyFont="1" applyFill="1" applyBorder="1" applyAlignment="1">
      <alignment horizontal="center" vertical="center" wrapText="1"/>
    </xf>
    <xf numFmtId="0" fontId="17" fillId="17" borderId="71" xfId="4" applyNumberFormat="1" applyFont="1" applyFill="1" applyBorder="1" applyAlignment="1">
      <alignment horizontal="center" vertical="center" wrapText="1"/>
    </xf>
    <xf numFmtId="0" fontId="36" fillId="17" borderId="58" xfId="4" applyNumberFormat="1" applyFont="1" applyFill="1" applyBorder="1" applyAlignment="1">
      <alignment horizontal="center" vertical="center" wrapText="1"/>
    </xf>
    <xf numFmtId="0" fontId="36" fillId="17" borderId="123" xfId="4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right" vertical="center" wrapText="1"/>
    </xf>
    <xf numFmtId="0" fontId="46" fillId="0" borderId="28" xfId="0" applyFont="1" applyFill="1" applyBorder="1" applyAlignment="1">
      <alignment horizontal="right" vertical="center" wrapText="1"/>
    </xf>
    <xf numFmtId="0" fontId="31" fillId="0" borderId="73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28" xfId="0" applyFont="1" applyFill="1" applyBorder="1" applyAlignment="1">
      <alignment horizontal="right" vertical="center"/>
    </xf>
    <xf numFmtId="0" fontId="31" fillId="0" borderId="28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/>
    </xf>
    <xf numFmtId="0" fontId="32" fillId="0" borderId="0" xfId="0" applyFont="1" applyFill="1" applyAlignment="1">
      <alignment horizontal="right" vertical="center"/>
    </xf>
    <xf numFmtId="0" fontId="17" fillId="0" borderId="6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17" fillId="0" borderId="4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vertical="center"/>
    </xf>
    <xf numFmtId="165" fontId="31" fillId="3" borderId="58" xfId="0" applyNumberFormat="1" applyFont="1" applyFill="1" applyBorder="1" applyAlignment="1">
      <alignment horizontal="center" vertical="center"/>
    </xf>
    <xf numFmtId="165" fontId="31" fillId="3" borderId="60" xfId="0" applyNumberFormat="1" applyFont="1" applyFill="1" applyBorder="1" applyAlignment="1">
      <alignment horizontal="center" vertical="center"/>
    </xf>
    <xf numFmtId="165" fontId="31" fillId="3" borderId="71" xfId="0" applyNumberFormat="1" applyFont="1" applyFill="1" applyBorder="1" applyAlignment="1">
      <alignment horizontal="center" vertical="center"/>
    </xf>
    <xf numFmtId="1" fontId="31" fillId="3" borderId="58" xfId="0" applyNumberFormat="1" applyFont="1" applyFill="1" applyBorder="1" applyAlignment="1">
      <alignment horizontal="center" vertical="center"/>
    </xf>
    <xf numFmtId="1" fontId="31" fillId="3" borderId="60" xfId="0" applyNumberFormat="1" applyFont="1" applyFill="1" applyBorder="1" applyAlignment="1">
      <alignment horizontal="center" vertical="center"/>
    </xf>
    <xf numFmtId="1" fontId="31" fillId="3" borderId="71" xfId="0" applyNumberFormat="1" applyFont="1" applyFill="1" applyBorder="1" applyAlignment="1">
      <alignment horizontal="center" vertical="center"/>
    </xf>
    <xf numFmtId="0" fontId="31" fillId="3" borderId="49" xfId="0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165" fontId="31" fillId="3" borderId="30" xfId="0" applyNumberFormat="1" applyFont="1" applyFill="1" applyBorder="1" applyAlignment="1">
      <alignment horizontal="center" vertical="center" wrapText="1"/>
    </xf>
    <xf numFmtId="165" fontId="31" fillId="3" borderId="4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88" fillId="0" borderId="0" xfId="0" applyFont="1" applyFill="1" applyBorder="1" applyAlignment="1">
      <alignment horizontal="left" vertical="center" wrapText="1"/>
    </xf>
    <xf numFmtId="0" fontId="88" fillId="0" borderId="0" xfId="0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horizontal="right" vertical="center"/>
    </xf>
    <xf numFmtId="0" fontId="64" fillId="0" borderId="0" xfId="0" applyFont="1" applyFill="1" applyBorder="1" applyAlignment="1">
      <alignment horizontal="right" vertical="center"/>
    </xf>
    <xf numFmtId="0" fontId="64" fillId="0" borderId="96" xfId="0" applyFont="1" applyFill="1" applyBorder="1" applyAlignment="1">
      <alignment horizontal="right" vertical="center"/>
    </xf>
    <xf numFmtId="0" fontId="64" fillId="0" borderId="83" xfId="0" applyFont="1" applyFill="1" applyBorder="1" applyAlignment="1">
      <alignment horizontal="right" vertical="center"/>
    </xf>
    <xf numFmtId="0" fontId="36" fillId="17" borderId="11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3" fontId="70" fillId="0" borderId="0" xfId="0" applyNumberFormat="1" applyFont="1" applyFill="1" applyBorder="1" applyAlignment="1">
      <alignment horizontal="right" vertical="center"/>
    </xf>
    <xf numFmtId="3" fontId="70" fillId="0" borderId="28" xfId="0" applyNumberFormat="1" applyFont="1" applyFill="1" applyBorder="1" applyAlignment="1">
      <alignment horizontal="right" vertical="center"/>
    </xf>
    <xf numFmtId="0" fontId="63" fillId="0" borderId="102" xfId="0" applyFont="1" applyBorder="1" applyAlignment="1">
      <alignment horizontal="right" vertical="center"/>
    </xf>
    <xf numFmtId="0" fontId="63" fillId="0" borderId="103" xfId="0" applyFont="1" applyBorder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63" fillId="0" borderId="43" xfId="0" applyFont="1" applyBorder="1" applyAlignment="1">
      <alignment horizontal="right" vertical="center"/>
    </xf>
    <xf numFmtId="0" fontId="64" fillId="17" borderId="29" xfId="0" applyFont="1" applyFill="1" applyBorder="1" applyAlignment="1">
      <alignment horizontal="center" vertical="center" wrapText="1"/>
    </xf>
    <xf numFmtId="0" fontId="64" fillId="17" borderId="2" xfId="0" applyFont="1" applyFill="1" applyBorder="1" applyAlignment="1">
      <alignment horizontal="center" vertical="center" wrapText="1"/>
    </xf>
    <xf numFmtId="0" fontId="64" fillId="17" borderId="56" xfId="0" applyFont="1" applyFill="1" applyBorder="1" applyAlignment="1">
      <alignment horizontal="center" vertical="center" wrapText="1"/>
    </xf>
    <xf numFmtId="0" fontId="64" fillId="17" borderId="61" xfId="0" applyFont="1" applyFill="1" applyBorder="1" applyAlignment="1">
      <alignment horizontal="center" vertical="center" wrapText="1"/>
    </xf>
    <xf numFmtId="0" fontId="64" fillId="17" borderId="28" xfId="0" applyFont="1" applyFill="1" applyBorder="1" applyAlignment="1">
      <alignment horizontal="center" vertical="center" wrapText="1"/>
    </xf>
    <xf numFmtId="0" fontId="64" fillId="17" borderId="63" xfId="0" applyFont="1" applyFill="1" applyBorder="1" applyAlignment="1">
      <alignment horizontal="center" vertical="center" wrapText="1"/>
    </xf>
    <xf numFmtId="0" fontId="64" fillId="17" borderId="38" xfId="0" applyFont="1" applyFill="1" applyBorder="1" applyAlignment="1">
      <alignment horizontal="center" vertical="center" wrapText="1"/>
    </xf>
    <xf numFmtId="0" fontId="64" fillId="17" borderId="0" xfId="0" applyFont="1" applyFill="1" applyBorder="1" applyAlignment="1">
      <alignment horizontal="center" vertical="center" wrapText="1"/>
    </xf>
    <xf numFmtId="0" fontId="64" fillId="17" borderId="43" xfId="0" applyFont="1" applyFill="1" applyBorder="1" applyAlignment="1">
      <alignment horizontal="center" vertical="center" wrapText="1"/>
    </xf>
    <xf numFmtId="0" fontId="55" fillId="17" borderId="31" xfId="0" applyFont="1" applyFill="1" applyBorder="1" applyAlignment="1">
      <alignment horizontal="center" vertical="center" wrapText="1"/>
    </xf>
    <xf numFmtId="0" fontId="55" fillId="17" borderId="44" xfId="0" applyFont="1" applyFill="1" applyBorder="1" applyAlignment="1">
      <alignment horizontal="center" vertical="center" wrapText="1"/>
    </xf>
    <xf numFmtId="0" fontId="55" fillId="17" borderId="33" xfId="0" applyFont="1" applyFill="1" applyBorder="1" applyAlignment="1">
      <alignment horizontal="center" vertical="center" wrapText="1"/>
    </xf>
    <xf numFmtId="0" fontId="55" fillId="17" borderId="66" xfId="0" applyFont="1" applyFill="1" applyBorder="1" applyAlignment="1">
      <alignment horizontal="center" vertical="center" wrapText="1"/>
    </xf>
    <xf numFmtId="0" fontId="55" fillId="17" borderId="43" xfId="0" applyFont="1" applyFill="1" applyBorder="1" applyAlignment="1">
      <alignment horizontal="center" vertical="center" wrapText="1"/>
    </xf>
    <xf numFmtId="0" fontId="55" fillId="17" borderId="48" xfId="0" applyFont="1" applyFill="1" applyBorder="1" applyAlignment="1">
      <alignment horizontal="center" vertical="center" wrapText="1"/>
    </xf>
    <xf numFmtId="0" fontId="55" fillId="17" borderId="10" xfId="0" applyFont="1" applyFill="1" applyBorder="1" applyAlignment="1">
      <alignment horizontal="center" vertical="center"/>
    </xf>
    <xf numFmtId="0" fontId="55" fillId="17" borderId="44" xfId="0" applyFont="1" applyFill="1" applyBorder="1" applyAlignment="1">
      <alignment horizontal="center" vertical="center"/>
    </xf>
    <xf numFmtId="0" fontId="55" fillId="17" borderId="6" xfId="0" applyFont="1" applyFill="1" applyBorder="1" applyAlignment="1">
      <alignment horizontal="center" vertical="center"/>
    </xf>
    <xf numFmtId="0" fontId="55" fillId="17" borderId="69" xfId="0" applyFont="1" applyFill="1" applyBorder="1" applyAlignment="1">
      <alignment horizontal="center" vertical="center" wrapText="1"/>
    </xf>
    <xf numFmtId="0" fontId="55" fillId="17" borderId="45" xfId="0" applyFont="1" applyFill="1" applyBorder="1" applyAlignment="1">
      <alignment horizontal="center" vertical="center" wrapText="1"/>
    </xf>
    <xf numFmtId="0" fontId="55" fillId="17" borderId="35" xfId="0" applyFont="1" applyFill="1" applyBorder="1" applyAlignment="1">
      <alignment horizontal="center" vertical="center" wrapText="1"/>
    </xf>
    <xf numFmtId="0" fontId="36" fillId="17" borderId="69" xfId="0" applyFont="1" applyFill="1" applyBorder="1" applyAlignment="1">
      <alignment horizontal="center" vertical="center" wrapText="1"/>
    </xf>
    <xf numFmtId="0" fontId="36" fillId="17" borderId="45" xfId="0" applyFont="1" applyFill="1" applyBorder="1" applyAlignment="1">
      <alignment horizontal="center" vertical="center" wrapText="1"/>
    </xf>
    <xf numFmtId="0" fontId="36" fillId="17" borderId="35" xfId="0" applyFont="1" applyFill="1" applyBorder="1" applyAlignment="1">
      <alignment horizontal="center" vertical="center" wrapText="1"/>
    </xf>
    <xf numFmtId="0" fontId="64" fillId="17" borderId="57" xfId="0" applyFont="1" applyFill="1" applyBorder="1" applyAlignment="1">
      <alignment horizontal="center" vertical="center" wrapText="1"/>
    </xf>
    <xf numFmtId="0" fontId="64" fillId="17" borderId="81" xfId="0" applyFont="1" applyFill="1" applyBorder="1" applyAlignment="1">
      <alignment horizontal="center" vertical="center" wrapText="1"/>
    </xf>
    <xf numFmtId="0" fontId="64" fillId="17" borderId="37" xfId="0" applyFont="1" applyFill="1" applyBorder="1" applyAlignment="1">
      <alignment horizontal="center" vertical="center" wrapText="1"/>
    </xf>
    <xf numFmtId="0" fontId="17" fillId="17" borderId="65" xfId="0" applyFont="1" applyFill="1" applyBorder="1" applyAlignment="1">
      <alignment horizontal="center" vertical="center" wrapText="1"/>
    </xf>
    <xf numFmtId="0" fontId="17" fillId="17" borderId="66" xfId="0" applyFont="1" applyFill="1" applyBorder="1" applyAlignment="1">
      <alignment horizontal="center" vertical="center" wrapText="1"/>
    </xf>
    <xf numFmtId="0" fontId="66" fillId="0" borderId="41" xfId="0" applyFont="1" applyFill="1" applyBorder="1" applyAlignment="1">
      <alignment horizontal="left" vertical="center"/>
    </xf>
    <xf numFmtId="0" fontId="66" fillId="17" borderId="23" xfId="0" applyFont="1" applyFill="1" applyBorder="1" applyAlignment="1">
      <alignment horizontal="center" vertical="center"/>
    </xf>
    <xf numFmtId="0" fontId="66" fillId="17" borderId="22" xfId="0" applyFont="1" applyFill="1" applyBorder="1" applyAlignment="1">
      <alignment horizontal="center" vertical="center"/>
    </xf>
    <xf numFmtId="0" fontId="66" fillId="17" borderId="25" xfId="0" applyFont="1" applyFill="1" applyBorder="1" applyAlignment="1">
      <alignment horizontal="center" vertical="center"/>
    </xf>
    <xf numFmtId="0" fontId="17" fillId="17" borderId="60" xfId="0" applyFont="1" applyFill="1" applyBorder="1" applyAlignment="1">
      <alignment horizontal="center" vertical="center" wrapText="1"/>
    </xf>
    <xf numFmtId="0" fontId="36" fillId="17" borderId="72" xfId="0" applyFont="1" applyFill="1" applyBorder="1" applyAlignment="1">
      <alignment horizontal="center" vertical="center" wrapText="1"/>
    </xf>
    <xf numFmtId="0" fontId="17" fillId="17" borderId="57" xfId="0" applyFont="1" applyFill="1" applyBorder="1" applyAlignment="1">
      <alignment horizontal="center" vertical="center" wrapText="1"/>
    </xf>
    <xf numFmtId="0" fontId="17" fillId="17" borderId="81" xfId="0" applyFont="1" applyFill="1" applyBorder="1" applyAlignment="1">
      <alignment horizontal="center" vertical="center" wrapText="1"/>
    </xf>
    <xf numFmtId="0" fontId="17" fillId="17" borderId="37" xfId="0" applyFont="1" applyFill="1" applyBorder="1" applyAlignment="1">
      <alignment horizontal="center" vertical="center" wrapText="1"/>
    </xf>
    <xf numFmtId="0" fontId="17" fillId="17" borderId="69" xfId="0" applyFont="1" applyFill="1" applyBorder="1" applyAlignment="1">
      <alignment horizontal="center" vertical="center" wrapText="1"/>
    </xf>
    <xf numFmtId="0" fontId="17" fillId="17" borderId="45" xfId="0" applyFont="1" applyFill="1" applyBorder="1" applyAlignment="1">
      <alignment horizontal="center" vertical="center" wrapText="1"/>
    </xf>
    <xf numFmtId="0" fontId="17" fillId="17" borderId="35" xfId="0" applyFont="1" applyFill="1" applyBorder="1" applyAlignment="1">
      <alignment horizontal="center" vertical="center" wrapText="1"/>
    </xf>
    <xf numFmtId="0" fontId="64" fillId="17" borderId="1" xfId="0" applyFont="1" applyFill="1" applyBorder="1" applyAlignment="1">
      <alignment horizontal="center" vertical="center" wrapText="1"/>
    </xf>
    <xf numFmtId="0" fontId="64" fillId="17" borderId="6" xfId="0" applyFont="1" applyFill="1" applyBorder="1" applyAlignment="1">
      <alignment horizontal="center" vertical="center" wrapText="1"/>
    </xf>
    <xf numFmtId="0" fontId="64" fillId="17" borderId="4" xfId="0" applyFont="1" applyFill="1" applyBorder="1" applyAlignment="1">
      <alignment horizontal="center" vertical="center" wrapText="1"/>
    </xf>
    <xf numFmtId="0" fontId="64" fillId="17" borderId="26" xfId="0" applyFont="1" applyFill="1" applyBorder="1" applyAlignment="1">
      <alignment horizontal="center" vertical="center" wrapText="1"/>
    </xf>
    <xf numFmtId="0" fontId="36" fillId="17" borderId="7" xfId="0" applyFont="1" applyFill="1" applyBorder="1" applyAlignment="1">
      <alignment horizontal="center" vertical="center"/>
    </xf>
    <xf numFmtId="0" fontId="36" fillId="17" borderId="47" xfId="0" applyFont="1" applyFill="1" applyBorder="1" applyAlignment="1">
      <alignment horizontal="center" vertical="center"/>
    </xf>
    <xf numFmtId="0" fontId="36" fillId="17" borderId="44" xfId="0" applyFont="1" applyFill="1" applyBorder="1" applyAlignment="1">
      <alignment horizontal="center" vertical="center" wrapText="1"/>
    </xf>
    <xf numFmtId="0" fontId="36" fillId="17" borderId="73" xfId="0" applyFont="1" applyFill="1" applyBorder="1" applyAlignment="1">
      <alignment horizontal="center" vertical="center" wrapText="1"/>
    </xf>
    <xf numFmtId="0" fontId="36" fillId="17" borderId="28" xfId="0" applyFont="1" applyFill="1" applyBorder="1" applyAlignment="1">
      <alignment horizontal="center" vertical="center" wrapText="1"/>
    </xf>
    <xf numFmtId="0" fontId="64" fillId="17" borderId="73" xfId="0" applyFont="1" applyFill="1" applyBorder="1" applyAlignment="1">
      <alignment horizontal="center" vertical="center" wrapText="1"/>
    </xf>
    <xf numFmtId="0" fontId="64" fillId="17" borderId="45" xfId="0" applyFont="1" applyFill="1" applyBorder="1" applyAlignment="1">
      <alignment horizontal="center" vertical="center" wrapText="1"/>
    </xf>
    <xf numFmtId="0" fontId="55" fillId="17" borderId="8" xfId="0" applyFont="1" applyFill="1" applyBorder="1" applyAlignment="1">
      <alignment horizontal="center" vertical="center"/>
    </xf>
    <xf numFmtId="0" fontId="64" fillId="17" borderId="89" xfId="0" applyFont="1" applyFill="1" applyBorder="1" applyAlignment="1">
      <alignment horizontal="center" vertical="center" wrapText="1"/>
    </xf>
    <xf numFmtId="0" fontId="64" fillId="17" borderId="60" xfId="0" applyFont="1" applyFill="1" applyBorder="1" applyAlignment="1">
      <alignment horizontal="center" vertical="center" wrapText="1"/>
    </xf>
    <xf numFmtId="0" fontId="64" fillId="17" borderId="71" xfId="0" applyFont="1" applyFill="1" applyBorder="1" applyAlignment="1">
      <alignment horizontal="center" vertical="center" wrapText="1"/>
    </xf>
    <xf numFmtId="0" fontId="64" fillId="17" borderId="65" xfId="0" applyFont="1" applyFill="1" applyBorder="1" applyAlignment="1">
      <alignment horizontal="center" vertical="center" wrapText="1"/>
    </xf>
    <xf numFmtId="0" fontId="64" fillId="17" borderId="66" xfId="0" applyFont="1" applyFill="1" applyBorder="1" applyAlignment="1">
      <alignment horizontal="center" vertical="center" wrapText="1"/>
    </xf>
    <xf numFmtId="0" fontId="64" fillId="17" borderId="53" xfId="0" applyFont="1" applyFill="1" applyBorder="1" applyAlignment="1">
      <alignment horizontal="center" vertical="center" wrapText="1"/>
    </xf>
    <xf numFmtId="0" fontId="64" fillId="17" borderId="44" xfId="0" applyFont="1" applyFill="1" applyBorder="1" applyAlignment="1">
      <alignment horizontal="center" vertical="center" wrapText="1"/>
    </xf>
    <xf numFmtId="0" fontId="36" fillId="17" borderId="7" xfId="0" applyFont="1" applyFill="1" applyBorder="1" applyAlignment="1">
      <alignment horizontal="center" vertical="center" wrapText="1"/>
    </xf>
    <xf numFmtId="0" fontId="36" fillId="17" borderId="16" xfId="0" applyFont="1" applyFill="1" applyBorder="1" applyAlignment="1">
      <alignment horizontal="center" vertical="center" wrapText="1"/>
    </xf>
    <xf numFmtId="0" fontId="36" fillId="17" borderId="47" xfId="0" applyFont="1" applyFill="1" applyBorder="1" applyAlignment="1">
      <alignment horizontal="center" vertical="center" wrapText="1"/>
    </xf>
    <xf numFmtId="0" fontId="36" fillId="17" borderId="1" xfId="0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right" vertical="center"/>
    </xf>
    <xf numFmtId="0" fontId="0" fillId="17" borderId="33" xfId="0" applyFill="1" applyBorder="1" applyAlignment="1">
      <alignment vertical="center"/>
    </xf>
    <xf numFmtId="0" fontId="17" fillId="17" borderId="87" xfId="0" applyFont="1" applyFill="1" applyBorder="1" applyAlignment="1">
      <alignment horizontal="center" vertical="center" wrapText="1"/>
    </xf>
    <xf numFmtId="0" fontId="17" fillId="17" borderId="80" xfId="0" applyFont="1" applyFill="1" applyBorder="1" applyAlignment="1">
      <alignment horizontal="center" vertical="center" wrapText="1"/>
    </xf>
    <xf numFmtId="0" fontId="64" fillId="17" borderId="106" xfId="0" applyFont="1" applyFill="1" applyBorder="1" applyAlignment="1">
      <alignment horizontal="center" vertical="center" wrapText="1"/>
    </xf>
    <xf numFmtId="0" fontId="64" fillId="17" borderId="107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left" vertical="center"/>
    </xf>
    <xf numFmtId="0" fontId="115" fillId="0" borderId="0" xfId="1" applyFont="1" applyBorder="1" applyAlignment="1" applyProtection="1">
      <alignment horizontal="left" vertical="center"/>
    </xf>
    <xf numFmtId="0" fontId="105" fillId="0" borderId="0" xfId="1" applyFont="1" applyBorder="1" applyAlignment="1" applyProtection="1">
      <alignment horizontal="left" vertical="center"/>
    </xf>
    <xf numFmtId="0" fontId="55" fillId="0" borderId="23" xfId="0" applyFont="1" applyBorder="1" applyAlignment="1">
      <alignment horizontal="center" vertical="center" wrapText="1"/>
    </xf>
    <xf numFmtId="0" fontId="55" fillId="0" borderId="140" xfId="0" applyFont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right"/>
    </xf>
    <xf numFmtId="0" fontId="64" fillId="30" borderId="90" xfId="0" applyFont="1" applyFill="1" applyBorder="1" applyAlignment="1">
      <alignment horizontal="left" vertical="center"/>
    </xf>
    <xf numFmtId="0" fontId="64" fillId="30" borderId="105" xfId="0" applyFont="1" applyFill="1" applyBorder="1" applyAlignment="1">
      <alignment horizontal="left" vertical="center"/>
    </xf>
    <xf numFmtId="0" fontId="64" fillId="30" borderId="97" xfId="0" applyFont="1" applyFill="1" applyBorder="1" applyAlignment="1">
      <alignment horizontal="left" vertical="center"/>
    </xf>
    <xf numFmtId="0" fontId="64" fillId="30" borderId="45" xfId="0" applyFont="1" applyFill="1" applyBorder="1" applyAlignment="1">
      <alignment horizontal="left" vertical="center" wrapText="1"/>
    </xf>
    <xf numFmtId="0" fontId="64" fillId="30" borderId="0" xfId="0" applyFont="1" applyFill="1" applyBorder="1" applyAlignment="1">
      <alignment horizontal="left" vertical="center" wrapText="1"/>
    </xf>
    <xf numFmtId="0" fontId="64" fillId="30" borderId="43" xfId="0" applyFont="1" applyFill="1" applyBorder="1" applyAlignment="1">
      <alignment horizontal="left" vertical="center" wrapText="1"/>
    </xf>
    <xf numFmtId="0" fontId="64" fillId="30" borderId="45" xfId="0" applyFont="1" applyFill="1" applyBorder="1" applyAlignment="1">
      <alignment horizontal="left" vertical="center"/>
    </xf>
    <xf numFmtId="0" fontId="64" fillId="30" borderId="0" xfId="0" applyFont="1" applyFill="1" applyBorder="1" applyAlignment="1">
      <alignment horizontal="left" vertical="center"/>
    </xf>
    <xf numFmtId="0" fontId="64" fillId="30" borderId="43" xfId="0" applyFont="1" applyFill="1" applyBorder="1" applyAlignment="1">
      <alignment horizontal="left" vertical="center"/>
    </xf>
    <xf numFmtId="0" fontId="64" fillId="24" borderId="73" xfId="0" applyFont="1" applyFill="1" applyBorder="1" applyAlignment="1">
      <alignment horizontal="left" vertical="center"/>
    </xf>
    <xf numFmtId="0" fontId="64" fillId="24" borderId="28" xfId="0" applyFont="1" applyFill="1" applyBorder="1" applyAlignment="1">
      <alignment horizontal="left" vertical="center"/>
    </xf>
    <xf numFmtId="0" fontId="64" fillId="24" borderId="63" xfId="0" applyFont="1" applyFill="1" applyBorder="1" applyAlignment="1">
      <alignment horizontal="left" vertical="center"/>
    </xf>
    <xf numFmtId="0" fontId="64" fillId="24" borderId="45" xfId="0" applyFont="1" applyFill="1" applyBorder="1" applyAlignment="1">
      <alignment horizontal="left" vertical="center"/>
    </xf>
    <xf numFmtId="0" fontId="64" fillId="24" borderId="0" xfId="0" applyFont="1" applyFill="1" applyBorder="1" applyAlignment="1">
      <alignment horizontal="left" vertical="center"/>
    </xf>
    <xf numFmtId="0" fontId="64" fillId="24" borderId="43" xfId="0" applyFont="1" applyFill="1" applyBorder="1" applyAlignment="1">
      <alignment horizontal="left" vertical="center"/>
    </xf>
    <xf numFmtId="0" fontId="55" fillId="30" borderId="90" xfId="0" applyFont="1" applyFill="1" applyBorder="1" applyAlignment="1">
      <alignment horizontal="left" vertical="center"/>
    </xf>
    <xf numFmtId="0" fontId="55" fillId="30" borderId="105" xfId="0" applyFont="1" applyFill="1" applyBorder="1" applyAlignment="1">
      <alignment horizontal="left" vertical="center"/>
    </xf>
    <xf numFmtId="0" fontId="55" fillId="30" borderId="97" xfId="0" applyFont="1" applyFill="1" applyBorder="1" applyAlignment="1">
      <alignment horizontal="left" vertical="center"/>
    </xf>
    <xf numFmtId="0" fontId="70" fillId="0" borderId="29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0" borderId="61" xfId="0" applyFont="1" applyBorder="1" applyAlignment="1">
      <alignment horizontal="center" vertical="center" wrapText="1"/>
    </xf>
    <xf numFmtId="0" fontId="70" fillId="0" borderId="101" xfId="0" applyFont="1" applyBorder="1" applyAlignment="1">
      <alignment horizontal="center" vertical="center" wrapText="1"/>
    </xf>
    <xf numFmtId="0" fontId="55" fillId="17" borderId="64" xfId="0" applyFont="1" applyFill="1" applyBorder="1" applyAlignment="1">
      <alignment horizontal="center" vertical="center" wrapText="1"/>
    </xf>
    <xf numFmtId="0" fontId="55" fillId="17" borderId="36" xfId="0" applyFont="1" applyFill="1" applyBorder="1" applyAlignment="1">
      <alignment horizontal="center" vertical="center" wrapText="1"/>
    </xf>
    <xf numFmtId="0" fontId="55" fillId="17" borderId="11" xfId="0" applyFont="1" applyFill="1" applyBorder="1" applyAlignment="1">
      <alignment horizontal="center" vertical="center" wrapText="1"/>
    </xf>
    <xf numFmtId="0" fontId="96" fillId="17" borderId="116" xfId="0" applyFont="1" applyFill="1" applyBorder="1" applyAlignment="1">
      <alignment horizontal="center" vertical="center"/>
    </xf>
    <xf numFmtId="0" fontId="96" fillId="17" borderId="60" xfId="0" applyFont="1" applyFill="1" applyBorder="1" applyAlignment="1">
      <alignment horizontal="center" vertical="center"/>
    </xf>
    <xf numFmtId="0" fontId="96" fillId="17" borderId="123" xfId="0" applyFont="1" applyFill="1" applyBorder="1" applyAlignment="1">
      <alignment horizontal="center" vertical="center"/>
    </xf>
    <xf numFmtId="0" fontId="55" fillId="17" borderId="124" xfId="0" applyFont="1" applyFill="1" applyBorder="1" applyAlignment="1">
      <alignment horizontal="center" vertical="center" wrapText="1"/>
    </xf>
    <xf numFmtId="0" fontId="55" fillId="17" borderId="118" xfId="0" applyFont="1" applyFill="1" applyBorder="1" applyAlignment="1">
      <alignment horizontal="center" vertical="center" wrapText="1"/>
    </xf>
    <xf numFmtId="0" fontId="55" fillId="17" borderId="73" xfId="0" applyFont="1" applyFill="1" applyBorder="1" applyAlignment="1">
      <alignment horizontal="center" vertical="center" wrapText="1"/>
    </xf>
    <xf numFmtId="0" fontId="55" fillId="17" borderId="28" xfId="0" applyFont="1" applyFill="1" applyBorder="1" applyAlignment="1">
      <alignment horizontal="center" vertical="center" wrapText="1"/>
    </xf>
    <xf numFmtId="0" fontId="55" fillId="17" borderId="63" xfId="0" applyFont="1" applyFill="1" applyBorder="1" applyAlignment="1">
      <alignment horizontal="center" vertical="center" wrapText="1"/>
    </xf>
    <xf numFmtId="0" fontId="55" fillId="17" borderId="125" xfId="0" applyFont="1" applyFill="1" applyBorder="1" applyAlignment="1">
      <alignment horizontal="center" vertical="center" wrapText="1"/>
    </xf>
    <xf numFmtId="0" fontId="55" fillId="17" borderId="126" xfId="0" applyFont="1" applyFill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79" xfId="0" applyFont="1" applyFill="1" applyBorder="1" applyAlignment="1">
      <alignment horizontal="center" vertical="center" wrapText="1"/>
    </xf>
    <xf numFmtId="0" fontId="64" fillId="0" borderId="32" xfId="0" applyFont="1" applyFill="1" applyBorder="1" applyAlignment="1">
      <alignment horizontal="center" vertical="center" wrapText="1"/>
    </xf>
    <xf numFmtId="0" fontId="55" fillId="17" borderId="34" xfId="0" applyFont="1" applyFill="1" applyBorder="1" applyAlignment="1">
      <alignment horizontal="center" vertical="center" wrapText="1"/>
    </xf>
    <xf numFmtId="0" fontId="55" fillId="17" borderId="79" xfId="0" applyFont="1" applyFill="1" applyBorder="1" applyAlignment="1">
      <alignment horizontal="center" vertical="center" wrapText="1"/>
    </xf>
    <xf numFmtId="0" fontId="55" fillId="17" borderId="32" xfId="0" applyFont="1" applyFill="1" applyBorder="1" applyAlignment="1">
      <alignment horizontal="center" vertical="center" wrapText="1"/>
    </xf>
    <xf numFmtId="0" fontId="17" fillId="0" borderId="38" xfId="9" applyFont="1" applyFill="1" applyBorder="1" applyAlignment="1">
      <alignment horizontal="right" vertical="center"/>
    </xf>
    <xf numFmtId="0" fontId="17" fillId="0" borderId="43" xfId="9" applyFont="1" applyFill="1" applyBorder="1" applyAlignment="1">
      <alignment horizontal="right" vertical="center"/>
    </xf>
    <xf numFmtId="3" fontId="16" fillId="0" borderId="28" xfId="9" applyNumberFormat="1" applyFont="1" applyFill="1" applyBorder="1" applyAlignment="1">
      <alignment horizontal="right" vertical="center"/>
    </xf>
    <xf numFmtId="0" fontId="16" fillId="0" borderId="28" xfId="9" applyFont="1" applyFill="1" applyBorder="1" applyAlignment="1">
      <alignment horizontal="right" vertical="center"/>
    </xf>
    <xf numFmtId="0" fontId="16" fillId="0" borderId="0" xfId="9" applyFont="1" applyFill="1" applyAlignment="1">
      <alignment horizontal="right" vertical="center"/>
    </xf>
    <xf numFmtId="10" fontId="82" fillId="0" borderId="40" xfId="9" applyNumberFormat="1" applyFont="1" applyFill="1" applyBorder="1" applyAlignment="1">
      <alignment horizontal="center" vertical="center"/>
    </xf>
    <xf numFmtId="10" fontId="82" fillId="0" borderId="42" xfId="9" applyNumberFormat="1" applyFont="1" applyFill="1" applyBorder="1" applyAlignment="1">
      <alignment horizontal="center" vertical="center"/>
    </xf>
    <xf numFmtId="0" fontId="17" fillId="0" borderId="99" xfId="9" applyFont="1" applyFill="1" applyBorder="1" applyAlignment="1">
      <alignment horizontal="right" vertical="center"/>
    </xf>
    <xf numFmtId="0" fontId="17" fillId="0" borderId="64" xfId="9" applyFont="1" applyFill="1" applyBorder="1" applyAlignment="1">
      <alignment horizontal="right" vertical="center"/>
    </xf>
    <xf numFmtId="3" fontId="16" fillId="0" borderId="61" xfId="9" applyNumberFormat="1" applyFont="1" applyFill="1" applyBorder="1" applyAlignment="1">
      <alignment horizontal="right" vertical="center"/>
    </xf>
    <xf numFmtId="0" fontId="17" fillId="0" borderId="41" xfId="9" applyFont="1" applyFill="1" applyBorder="1" applyAlignment="1">
      <alignment horizontal="center" vertical="center"/>
    </xf>
    <xf numFmtId="0" fontId="17" fillId="17" borderId="58" xfId="9" applyFont="1" applyFill="1" applyBorder="1" applyAlignment="1">
      <alignment horizontal="center" vertical="center"/>
    </xf>
    <xf numFmtId="0" fontId="17" fillId="17" borderId="71" xfId="9" applyFont="1" applyFill="1" applyBorder="1" applyAlignment="1">
      <alignment horizontal="center" vertical="center"/>
    </xf>
    <xf numFmtId="3" fontId="16" fillId="0" borderId="0" xfId="9" applyNumberFormat="1" applyFont="1" applyFill="1" applyAlignment="1">
      <alignment horizontal="right" vertical="center"/>
    </xf>
    <xf numFmtId="168" fontId="13" fillId="17" borderId="58" xfId="9" applyNumberFormat="1" applyFont="1" applyFill="1" applyBorder="1" applyAlignment="1">
      <alignment horizontal="center" vertical="center"/>
    </xf>
    <xf numFmtId="168" fontId="13" fillId="17" borderId="71" xfId="9" applyNumberFormat="1" applyFont="1" applyFill="1" applyBorder="1" applyAlignment="1">
      <alignment horizontal="center" vertical="center"/>
    </xf>
    <xf numFmtId="0" fontId="16" fillId="0" borderId="0" xfId="9" applyFont="1" applyFill="1" applyBorder="1" applyAlignment="1">
      <alignment horizontal="right" vertical="center" wrapText="1"/>
    </xf>
    <xf numFmtId="3" fontId="16" fillId="0" borderId="45" xfId="9" applyNumberFormat="1" applyFont="1" applyFill="1" applyBorder="1" applyAlignment="1">
      <alignment horizontal="right" vertical="center"/>
    </xf>
    <xf numFmtId="170" fontId="16" fillId="0" borderId="79" xfId="9" applyNumberFormat="1" applyFont="1" applyFill="1" applyBorder="1" applyAlignment="1">
      <alignment horizontal="center" vertical="center"/>
    </xf>
    <xf numFmtId="170" fontId="16" fillId="0" borderId="81" xfId="9" applyNumberFormat="1" applyFont="1" applyFill="1" applyBorder="1" applyAlignment="1">
      <alignment horizontal="center" vertical="center"/>
    </xf>
    <xf numFmtId="170" fontId="32" fillId="0" borderId="0" xfId="9" applyNumberFormat="1" applyFont="1" applyFill="1" applyBorder="1" applyAlignment="1">
      <alignment horizontal="center" vertical="center" wrapText="1"/>
    </xf>
    <xf numFmtId="0" fontId="17" fillId="0" borderId="20" xfId="9" applyFont="1" applyFill="1" applyBorder="1" applyAlignment="1">
      <alignment horizontal="right" vertical="center"/>
    </xf>
    <xf numFmtId="0" fontId="16" fillId="0" borderId="0" xfId="9" applyFont="1" applyFill="1" applyBorder="1" applyAlignment="1">
      <alignment horizontal="right" vertical="center"/>
    </xf>
    <xf numFmtId="0" fontId="17" fillId="0" borderId="0" xfId="9" applyFont="1" applyBorder="1" applyAlignment="1">
      <alignment horizontal="left" vertical="center"/>
    </xf>
    <xf numFmtId="0" fontId="17" fillId="0" borderId="2" xfId="9" applyFont="1" applyFill="1" applyBorder="1" applyAlignment="1">
      <alignment horizontal="right" vertical="center"/>
    </xf>
    <xf numFmtId="0" fontId="75" fillId="17" borderId="49" xfId="9" applyFont="1" applyFill="1" applyBorder="1" applyAlignment="1">
      <alignment horizontal="center" vertical="center"/>
    </xf>
    <xf numFmtId="0" fontId="75" fillId="17" borderId="51" xfId="9" applyFont="1" applyFill="1" applyBorder="1" applyAlignment="1">
      <alignment horizontal="center" vertical="center"/>
    </xf>
    <xf numFmtId="0" fontId="75" fillId="17" borderId="58" xfId="9" applyFont="1" applyFill="1" applyBorder="1" applyAlignment="1">
      <alignment horizontal="center" vertical="center"/>
    </xf>
    <xf numFmtId="0" fontId="75" fillId="17" borderId="60" xfId="9" applyFont="1" applyFill="1" applyBorder="1" applyAlignment="1">
      <alignment horizontal="center" vertical="center"/>
    </xf>
    <xf numFmtId="0" fontId="75" fillId="17" borderId="71" xfId="9" applyFont="1" applyFill="1" applyBorder="1" applyAlignment="1">
      <alignment horizontal="center" vertical="center"/>
    </xf>
    <xf numFmtId="0" fontId="17" fillId="0" borderId="41" xfId="9" applyFont="1" applyFill="1" applyBorder="1" applyAlignment="1">
      <alignment horizontal="left" vertical="center" wrapText="1"/>
    </xf>
    <xf numFmtId="0" fontId="17" fillId="17" borderId="29" xfId="9" applyFont="1" applyFill="1" applyBorder="1" applyAlignment="1">
      <alignment horizontal="center" vertical="center"/>
    </xf>
    <xf numFmtId="0" fontId="17" fillId="17" borderId="56" xfId="9" applyFont="1" applyFill="1" applyBorder="1" applyAlignment="1">
      <alignment horizontal="center" vertical="center"/>
    </xf>
    <xf numFmtId="0" fontId="17" fillId="17" borderId="40" xfId="9" applyFont="1" applyFill="1" applyBorder="1" applyAlignment="1">
      <alignment horizontal="center" vertical="center"/>
    </xf>
    <xf numFmtId="0" fontId="17" fillId="17" borderId="36" xfId="9" applyFont="1" applyFill="1" applyBorder="1" applyAlignment="1">
      <alignment horizontal="center" vertical="center"/>
    </xf>
    <xf numFmtId="0" fontId="17" fillId="17" borderId="57" xfId="9" applyFont="1" applyFill="1" applyBorder="1" applyAlignment="1">
      <alignment horizontal="center" vertical="center" wrapText="1"/>
    </xf>
    <xf numFmtId="0" fontId="17" fillId="17" borderId="37" xfId="9" applyFont="1" applyFill="1" applyBorder="1" applyAlignment="1">
      <alignment horizontal="center" vertical="center" wrapText="1"/>
    </xf>
    <xf numFmtId="0" fontId="17" fillId="17" borderId="29" xfId="9" applyFont="1" applyFill="1" applyBorder="1" applyAlignment="1">
      <alignment horizontal="center" vertical="center" wrapText="1"/>
    </xf>
    <xf numFmtId="0" fontId="17" fillId="17" borderId="40" xfId="9" applyFont="1" applyFill="1" applyBorder="1" applyAlignment="1">
      <alignment horizontal="center" vertical="center" wrapText="1"/>
    </xf>
    <xf numFmtId="0" fontId="17" fillId="17" borderId="31" xfId="9" applyFont="1" applyFill="1" applyBorder="1" applyAlignment="1">
      <alignment horizontal="center" vertical="center" wrapText="1"/>
    </xf>
    <xf numFmtId="0" fontId="17" fillId="17" borderId="33" xfId="9" applyFont="1" applyFill="1" applyBorder="1" applyAlignment="1">
      <alignment horizontal="center" vertical="center" wrapText="1"/>
    </xf>
    <xf numFmtId="0" fontId="68" fillId="17" borderId="49" xfId="9" applyFont="1" applyFill="1" applyBorder="1" applyAlignment="1">
      <alignment horizontal="center" vertical="center" wrapText="1"/>
    </xf>
    <xf numFmtId="0" fontId="68" fillId="17" borderId="51" xfId="9" applyFont="1" applyFill="1" applyBorder="1" applyAlignment="1">
      <alignment horizontal="center" vertical="center" wrapText="1"/>
    </xf>
    <xf numFmtId="0" fontId="55" fillId="17" borderId="28" xfId="0" applyFont="1" applyFill="1" applyBorder="1" applyAlignment="1">
      <alignment horizontal="left" wrapText="1"/>
    </xf>
    <xf numFmtId="0" fontId="55" fillId="17" borderId="73" xfId="0" applyFont="1" applyFill="1" applyBorder="1" applyAlignment="1">
      <alignment horizontal="left"/>
    </xf>
    <xf numFmtId="0" fontId="55" fillId="17" borderId="28" xfId="0" applyFont="1" applyFill="1" applyBorder="1" applyAlignment="1">
      <alignment horizontal="left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17" fillId="3" borderId="38" xfId="0" applyFont="1" applyFill="1" applyBorder="1" applyAlignment="1" applyProtection="1">
      <alignment horizontal="center" wrapText="1"/>
    </xf>
    <xf numFmtId="0" fontId="17" fillId="3" borderId="0" xfId="0" applyFont="1" applyFill="1" applyBorder="1" applyAlignment="1" applyProtection="1">
      <alignment horizontal="center" wrapText="1"/>
    </xf>
    <xf numFmtId="0" fontId="17" fillId="3" borderId="39" xfId="0" applyFont="1" applyFill="1" applyBorder="1" applyAlignment="1" applyProtection="1">
      <alignment horizontal="center" wrapText="1"/>
    </xf>
    <xf numFmtId="0" fontId="17" fillId="0" borderId="9" xfId="0" applyFont="1" applyFill="1" applyBorder="1" applyAlignment="1" applyProtection="1">
      <alignment horizontal="left" wrapText="1"/>
    </xf>
    <xf numFmtId="0" fontId="17" fillId="0" borderId="10" xfId="0" applyFont="1" applyFill="1" applyBorder="1" applyAlignment="1">
      <alignment horizontal="left"/>
    </xf>
    <xf numFmtId="0" fontId="17" fillId="0" borderId="46" xfId="0" applyFont="1" applyFill="1" applyBorder="1" applyAlignment="1">
      <alignment horizontal="left"/>
    </xf>
    <xf numFmtId="0" fontId="16" fillId="3" borderId="38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39" xfId="0" applyFont="1" applyFill="1" applyBorder="1" applyAlignment="1" applyProtection="1">
      <alignment horizontal="left" vertical="center" wrapText="1"/>
    </xf>
    <xf numFmtId="0" fontId="16" fillId="0" borderId="99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100" xfId="0" applyFont="1" applyFill="1" applyBorder="1" applyAlignment="1" applyProtection="1">
      <alignment horizontal="left" vertical="center" wrapText="1"/>
    </xf>
    <xf numFmtId="0" fontId="16" fillId="0" borderId="38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39" xfId="0" applyFont="1" applyFill="1" applyBorder="1" applyAlignment="1" applyProtection="1">
      <alignment horizontal="left" vertical="center" wrapText="1"/>
    </xf>
    <xf numFmtId="0" fontId="16" fillId="0" borderId="61" xfId="0" applyFont="1" applyFill="1" applyBorder="1" applyAlignment="1" applyProtection="1">
      <alignment horizontal="left" vertical="center" wrapText="1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0" borderId="101" xfId="0" applyFont="1" applyFill="1" applyBorder="1" applyAlignment="1" applyProtection="1">
      <alignment horizontal="left" vertical="center" wrapText="1"/>
    </xf>
    <xf numFmtId="0" fontId="16" fillId="3" borderId="38" xfId="0" applyFont="1" applyFill="1" applyBorder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Fill="1" applyBorder="1" applyAlignment="1" applyProtection="1">
      <alignment horizontal="left" wrapText="1"/>
    </xf>
    <xf numFmtId="0" fontId="16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7" fillId="3" borderId="38" xfId="0" applyFont="1" applyFill="1" applyBorder="1" applyAlignment="1" applyProtection="1">
      <alignment wrapText="1"/>
    </xf>
    <xf numFmtId="0" fontId="17" fillId="3" borderId="0" xfId="0" applyFont="1" applyFill="1" applyBorder="1" applyAlignment="1" applyProtection="1">
      <alignment wrapText="1"/>
    </xf>
    <xf numFmtId="0" fontId="16" fillId="17" borderId="38" xfId="0" applyFont="1" applyFill="1" applyBorder="1" applyAlignment="1" applyProtection="1">
      <alignment horizontal="left" wrapText="1"/>
    </xf>
    <xf numFmtId="0" fontId="16" fillId="17" borderId="0" xfId="0" applyFont="1" applyFill="1" applyBorder="1" applyAlignment="1" applyProtection="1">
      <alignment horizontal="left" wrapText="1"/>
    </xf>
    <xf numFmtId="0" fontId="16" fillId="17" borderId="39" xfId="0" applyFont="1" applyFill="1" applyBorder="1" applyAlignment="1" applyProtection="1">
      <alignment horizontal="left" wrapText="1"/>
    </xf>
    <xf numFmtId="0" fontId="74" fillId="0" borderId="3" xfId="1" applyFont="1" applyFill="1" applyBorder="1" applyAlignment="1" applyProtection="1">
      <alignment horizontal="left" wrapText="1"/>
    </xf>
    <xf numFmtId="0" fontId="16" fillId="5" borderId="29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39" xfId="0" applyFont="1" applyBorder="1" applyAlignment="1" applyProtection="1">
      <alignment horizontal="left" vertical="center" wrapText="1"/>
      <protection locked="0"/>
    </xf>
    <xf numFmtId="0" fontId="16" fillId="0" borderId="40" xfId="0" applyFont="1" applyBorder="1" applyAlignment="1" applyProtection="1">
      <alignment horizontal="left" vertical="center" wrapText="1"/>
      <protection locked="0"/>
    </xf>
    <xf numFmtId="0" fontId="16" fillId="0" borderId="41" xfId="0" applyFont="1" applyBorder="1" applyAlignment="1" applyProtection="1">
      <alignment horizontal="left" vertical="center" wrapText="1"/>
      <protection locked="0"/>
    </xf>
    <xf numFmtId="0" fontId="16" fillId="0" borderId="42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7" fillId="13" borderId="17" xfId="0" applyFont="1" applyFill="1" applyBorder="1" applyAlignment="1" applyProtection="1">
      <alignment horizontal="center" vertical="center" wrapText="1"/>
    </xf>
    <xf numFmtId="0" fontId="17" fillId="13" borderId="16" xfId="0" applyFont="1" applyFill="1" applyBorder="1" applyAlignment="1" applyProtection="1">
      <alignment horizontal="center" vertical="center" wrapText="1"/>
    </xf>
    <xf numFmtId="0" fontId="17" fillId="13" borderId="47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left" vertical="center" wrapText="1"/>
    </xf>
    <xf numFmtId="0" fontId="17" fillId="0" borderId="16" xfId="0" applyFont="1" applyFill="1" applyBorder="1" applyAlignment="1" applyProtection="1">
      <alignment horizontal="left" vertical="center" wrapText="1"/>
    </xf>
    <xf numFmtId="0" fontId="17" fillId="0" borderId="47" xfId="0" applyFont="1" applyFill="1" applyBorder="1" applyAlignment="1" applyProtection="1">
      <alignment horizontal="left" vertical="center" wrapText="1"/>
    </xf>
    <xf numFmtId="0" fontId="17" fillId="0" borderId="61" xfId="0" applyFont="1" applyFill="1" applyBorder="1" applyAlignment="1" applyProtection="1">
      <alignment horizontal="left" vertical="center" wrapText="1"/>
    </xf>
    <xf numFmtId="0" fontId="17" fillId="0" borderId="28" xfId="0" applyFont="1" applyFill="1" applyBorder="1" applyAlignment="1" applyProtection="1">
      <alignment horizontal="left" vertical="center" wrapText="1"/>
    </xf>
    <xf numFmtId="0" fontId="17" fillId="0" borderId="63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wrapText="1"/>
    </xf>
    <xf numFmtId="0" fontId="17" fillId="0" borderId="39" xfId="0" applyFont="1" applyBorder="1" applyAlignment="1" applyProtection="1">
      <alignment wrapText="1"/>
    </xf>
    <xf numFmtId="0" fontId="17" fillId="0" borderId="23" xfId="0" applyFont="1" applyFill="1" applyBorder="1" applyAlignment="1" applyProtection="1">
      <alignment horizontal="center"/>
    </xf>
    <xf numFmtId="0" fontId="17" fillId="0" borderId="22" xfId="0" applyFont="1" applyFill="1" applyBorder="1" applyAlignment="1" applyProtection="1">
      <alignment horizontal="center"/>
    </xf>
    <xf numFmtId="0" fontId="17" fillId="0" borderId="25" xfId="0" applyFont="1" applyFill="1" applyBorder="1" applyAlignment="1" applyProtection="1">
      <alignment horizontal="center"/>
    </xf>
    <xf numFmtId="0" fontId="28" fillId="5" borderId="23" xfId="0" applyFont="1" applyFill="1" applyBorder="1" applyAlignment="1" applyProtection="1">
      <alignment horizontal="center" vertical="center"/>
      <protection locked="0"/>
    </xf>
    <xf numFmtId="0" fontId="28" fillId="5" borderId="22" xfId="0" applyFont="1" applyFill="1" applyBorder="1" applyAlignment="1" applyProtection="1">
      <alignment horizontal="center" vertical="center"/>
      <protection locked="0"/>
    </xf>
    <xf numFmtId="0" fontId="28" fillId="5" borderId="25" xfId="0" applyFont="1" applyFill="1" applyBorder="1" applyAlignment="1" applyProtection="1">
      <alignment horizontal="center" vertical="center"/>
      <protection locked="0"/>
    </xf>
    <xf numFmtId="3" fontId="16" fillId="0" borderId="3" xfId="0" quotePrefix="1" applyNumberFormat="1" applyFont="1" applyFill="1" applyBorder="1" applyAlignment="1" applyProtection="1">
      <alignment horizontal="left" wrapText="1"/>
    </xf>
    <xf numFmtId="0" fontId="17" fillId="0" borderId="27" xfId="0" applyFont="1" applyFill="1" applyBorder="1" applyAlignment="1" applyProtection="1">
      <alignment horizontal="left" vertical="center" wrapText="1"/>
    </xf>
    <xf numFmtId="0" fontId="17" fillId="0" borderId="70" xfId="0" applyFont="1" applyFill="1" applyBorder="1" applyAlignment="1" applyProtection="1">
      <alignment horizontal="left" vertical="center" wrapText="1"/>
    </xf>
    <xf numFmtId="0" fontId="17" fillId="0" borderId="48" xfId="0" applyFont="1" applyFill="1" applyBorder="1" applyAlignment="1" applyProtection="1">
      <alignment horizontal="left" vertical="center" wrapText="1"/>
    </xf>
    <xf numFmtId="0" fontId="17" fillId="0" borderId="41" xfId="5" applyFont="1" applyFill="1" applyBorder="1" applyAlignment="1">
      <alignment vertical="center"/>
    </xf>
    <xf numFmtId="0" fontId="16" fillId="0" borderId="41" xfId="5" applyFont="1" applyFill="1" applyBorder="1" applyAlignment="1">
      <alignment vertical="center"/>
    </xf>
    <xf numFmtId="3" fontId="16" fillId="0" borderId="41" xfId="5" applyNumberFormat="1" applyFont="1" applyFill="1" applyBorder="1" applyAlignment="1">
      <alignment vertical="center"/>
    </xf>
    <xf numFmtId="49" fontId="15" fillId="0" borderId="0" xfId="0" applyNumberFormat="1" applyFont="1" applyFill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 wrapText="1"/>
    </xf>
    <xf numFmtId="3" fontId="15" fillId="0" borderId="0" xfId="0" applyNumberFormat="1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7" fillId="0" borderId="29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 vertical="center"/>
    </xf>
    <xf numFmtId="0" fontId="37" fillId="0" borderId="0" xfId="0" applyFont="1" applyFill="1" applyAlignment="1" applyProtection="1">
      <alignment vertical="center"/>
    </xf>
    <xf numFmtId="3" fontId="83" fillId="0" borderId="0" xfId="5" applyNumberFormat="1" applyFont="1" applyFill="1" applyBorder="1" applyAlignment="1" applyProtection="1">
      <alignment vertical="center" wrapText="1"/>
    </xf>
    <xf numFmtId="0" fontId="35" fillId="0" borderId="0" xfId="4" applyNumberFormat="1" applyFont="1" applyFill="1" applyBorder="1" applyAlignment="1">
      <alignment horizontal="left" vertical="center" wrapText="1"/>
    </xf>
    <xf numFmtId="0" fontId="35" fillId="0" borderId="0" xfId="4" applyNumberFormat="1" applyFont="1" applyFill="1" applyBorder="1" applyAlignment="1">
      <alignment horizontal="left" vertical="center" wrapText="1"/>
    </xf>
    <xf numFmtId="0" fontId="56" fillId="0" borderId="0" xfId="0" applyFont="1" applyFill="1" applyAlignment="1">
      <alignment horizontal="center"/>
    </xf>
    <xf numFmtId="0" fontId="67" fillId="0" borderId="0" xfId="4" applyNumberFormat="1" applyFont="1" applyFill="1" applyBorder="1" applyAlignment="1">
      <alignment vertical="top"/>
    </xf>
    <xf numFmtId="0" fontId="58" fillId="0" borderId="0" xfId="4" applyNumberFormat="1" applyFont="1" applyFill="1" applyBorder="1" applyAlignment="1">
      <alignment vertical="center"/>
    </xf>
    <xf numFmtId="0" fontId="56" fillId="0" borderId="0" xfId="0" applyFont="1" applyFill="1"/>
    <xf numFmtId="17" fontId="63" fillId="0" borderId="0" xfId="0" applyNumberFormat="1" applyFont="1" applyFill="1" applyBorder="1" applyAlignment="1">
      <alignment vertical="center"/>
    </xf>
    <xf numFmtId="4" fontId="1" fillId="27" borderId="1" xfId="0" applyNumberFormat="1" applyFont="1" applyFill="1" applyBorder="1" applyAlignment="1">
      <alignment vertical="center"/>
    </xf>
    <xf numFmtId="0" fontId="63" fillId="0" borderId="0" xfId="0" applyFont="1" applyFill="1" applyAlignment="1">
      <alignment horizontal="center" vertical="center"/>
    </xf>
    <xf numFmtId="164" fontId="63" fillId="0" borderId="0" xfId="0" applyNumberFormat="1" applyFont="1" applyFill="1" applyAlignment="1">
      <alignment vertical="center"/>
    </xf>
    <xf numFmtId="3" fontId="63" fillId="0" borderId="0" xfId="0" applyNumberFormat="1" applyFont="1" applyFill="1" applyAlignment="1">
      <alignment vertical="center"/>
    </xf>
    <xf numFmtId="170" fontId="63" fillId="0" borderId="0" xfId="14" applyNumberFormat="1" applyFont="1" applyFill="1" applyAlignment="1">
      <alignment vertical="center"/>
    </xf>
    <xf numFmtId="0" fontId="64" fillId="0" borderId="0" xfId="0" applyFont="1" applyFill="1" applyAlignment="1">
      <alignment horizontal="center" vertical="center"/>
    </xf>
    <xf numFmtId="4" fontId="39" fillId="0" borderId="0" xfId="0" applyNumberFormat="1" applyFont="1" applyFill="1" applyAlignment="1">
      <alignment vertical="center"/>
    </xf>
    <xf numFmtId="176" fontId="63" fillId="0" borderId="0" xfId="0" applyNumberFormat="1" applyFont="1" applyFill="1" applyAlignment="1">
      <alignment vertical="center"/>
    </xf>
    <xf numFmtId="172" fontId="63" fillId="0" borderId="0" xfId="0" applyNumberFormat="1" applyFont="1" applyFill="1" applyAlignment="1">
      <alignment vertical="center"/>
    </xf>
    <xf numFmtId="0" fontId="14" fillId="0" borderId="0" xfId="1" applyFill="1" applyAlignment="1" applyProtection="1">
      <alignment vertical="center"/>
    </xf>
    <xf numFmtId="173" fontId="63" fillId="0" borderId="0" xfId="0" applyNumberFormat="1" applyFont="1" applyFill="1" applyAlignment="1">
      <alignment vertical="center"/>
    </xf>
    <xf numFmtId="0" fontId="63" fillId="0" borderId="0" xfId="0" applyNumberFormat="1" applyFont="1" applyFill="1" applyAlignment="1">
      <alignment vertical="center"/>
    </xf>
    <xf numFmtId="0" fontId="61" fillId="0" borderId="41" xfId="0" applyFont="1" applyFill="1" applyBorder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0" xfId="0" applyFont="1" applyFill="1" applyAlignment="1">
      <alignment horizontal="left" vertical="center"/>
    </xf>
    <xf numFmtId="0" fontId="60" fillId="0" borderId="35" xfId="4" applyNumberFormat="1" applyFont="1" applyFill="1" applyBorder="1" applyAlignment="1">
      <alignment horizontal="left" vertical="center"/>
    </xf>
    <xf numFmtId="0" fontId="60" fillId="0" borderId="0" xfId="4" applyNumberFormat="1" applyFont="1" applyFill="1" applyBorder="1" applyAlignment="1">
      <alignment horizontal="left" vertical="center"/>
    </xf>
    <xf numFmtId="0" fontId="55" fillId="0" borderId="41" xfId="0" applyFont="1" applyFill="1" applyBorder="1" applyAlignment="1">
      <alignment horizontal="left" vertical="center"/>
    </xf>
    <xf numFmtId="0" fontId="62" fillId="0" borderId="0" xfId="0" applyFont="1" applyFill="1"/>
    <xf numFmtId="0" fontId="109" fillId="0" borderId="0" xfId="0" applyFont="1" applyFill="1" applyBorder="1" applyAlignment="1">
      <alignment horizontal="right" vertical="center" wrapText="1"/>
    </xf>
    <xf numFmtId="0" fontId="110" fillId="0" borderId="0" xfId="0" applyFont="1" applyFill="1" applyBorder="1" applyAlignment="1">
      <alignment horizontal="left" vertical="center" wrapText="1"/>
    </xf>
    <xf numFmtId="0" fontId="62" fillId="0" borderId="0" xfId="0" applyFont="1" applyFill="1" applyBorder="1"/>
    <xf numFmtId="0" fontId="73" fillId="0" borderId="29" xfId="8" applyFont="1" applyFill="1" applyBorder="1" applyProtection="1"/>
    <xf numFmtId="0" fontId="16" fillId="0" borderId="2" xfId="0" applyFont="1" applyFill="1" applyBorder="1" applyProtection="1"/>
  </cellXfs>
  <cellStyles count="16">
    <cellStyle name="Hyperlink" xfId="1" builtinId="8"/>
    <cellStyle name="Normaallaad 2" xfId="2"/>
    <cellStyle name="Normaallaad 2 2" xfId="3"/>
    <cellStyle name="Normaallaad 2 2 2" xfId="10"/>
    <cellStyle name="Normaallaad 2 3" xfId="9"/>
    <cellStyle name="Normaallaad 3" xfId="4"/>
    <cellStyle name="Normaallaad 4" xfId="5"/>
    <cellStyle name="Normaallaad 5" xfId="6"/>
    <cellStyle name="Normaallaad 5 2" xfId="11"/>
    <cellStyle name="Normaallaad_Leht1" xfId="13"/>
    <cellStyle name="Normal" xfId="0" builtinId="0"/>
    <cellStyle name="Normal_R016VDAT" xfId="7"/>
    <cellStyle name="Normal_väikesed  elektriettevõtted WWW-st" xfId="8"/>
    <cellStyle name="Percent" xfId="12" builtinId="5"/>
    <cellStyle name="Percent 2" xfId="14"/>
    <cellStyle name="Percent 2 3" xfId="15"/>
  </cellStyles>
  <dxfs count="0"/>
  <tableStyles count="0" defaultTableStyle="TableStyleMedium9" defaultPivotStyle="PivotStyleLight16"/>
  <colors>
    <mruColors>
      <color rgb="FF99CCFF"/>
      <color rgb="FF0000FF"/>
      <color rgb="FFCCFFCC"/>
      <color rgb="FFE7FE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4762</xdr:rowOff>
    </xdr:from>
    <xdr:ext cx="18531" cy="318036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0530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4762</xdr:rowOff>
    </xdr:from>
    <xdr:ext cx="18531" cy="318036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30530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4762</xdr:rowOff>
    </xdr:from>
    <xdr:ext cx="18531" cy="318036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30530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4762</xdr:rowOff>
    </xdr:from>
    <xdr:ext cx="18531" cy="318036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30530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7" name="Text Box 1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2" name="Text Box 19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3" name="Text Box 2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4" name="Text Box 21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5" name="Text Box 2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6" name="Text Box 23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7" name="Text Box 2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7" name="Text Box 1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8" name="Text Box 19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49" name="Text Box 2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1" name="Text Box 2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2" name="Text Box 23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3" name="Text Box 2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8" name="Text Box 1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59" name="Text Box 1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1" name="Text Box 16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2" name="Text Box 17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3" name="Text Box 18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6" name="Text Box 21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7" name="Text Box 22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8" name="Text Box 23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0</xdr:colOff>
      <xdr:row>17</xdr:row>
      <xdr:rowOff>9525</xdr:rowOff>
    </xdr:from>
    <xdr:ext cx="18531" cy="318036"/>
    <xdr:sp macro="" textlink="">
      <xdr:nvSpPr>
        <xdr:cNvPr id="69" name="Text Box 24"/>
        <xdr:cNvSpPr txBox="1">
          <a:spLocks noChangeArrowheads="1"/>
        </xdr:cNvSpPr>
      </xdr:nvSpPr>
      <xdr:spPr bwMode="auto">
        <a:xfrm>
          <a:off x="430530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783336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783336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783336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783336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2" name="Text Box 17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3" name="Text Box 1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4" name="Text Box 19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5" name="Text Box 2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7" name="Text Box 2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8" name="Text Box 23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89" name="Text Box 2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3" name="Text Box 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4" name="Text Box 1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5" name="Text Box 1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6" name="Text Box 1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1" name="Text Box 2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2" name="Text Box 21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3" name="Text Box 2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4" name="Text Box 23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5" name="Text Box 2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1" name="Text Box 1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2" name="Text Box 1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3" name="Text Box 1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4" name="Text Box 17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5" name="Text Box 1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6" name="Text Box 19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7" name="Text Box 2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8" name="Text Box 21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19" name="Text Box 2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0" name="Text Box 23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1" name="Text Box 2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6" name="Text Box 1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7" name="Text Box 1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8" name="Text Box 1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29" name="Text Box 16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0" name="Text Box 17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1" name="Text Box 18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2" name="Text Box 19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3" name="Text Box 20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4" name="Text Box 21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5" name="Text Box 22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6" name="Text Box 23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137" name="Text Box 24"/>
        <xdr:cNvSpPr txBox="1">
          <a:spLocks noChangeArrowheads="1"/>
        </xdr:cNvSpPr>
      </xdr:nvSpPr>
      <xdr:spPr bwMode="auto">
        <a:xfrm>
          <a:off x="783336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136142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136142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136142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1361420" y="412718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3" name="Text Box 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6" name="Text Box 1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7" name="Text Box 1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8" name="Text Box 1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0" name="Text Box 17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1" name="Text Box 1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2" name="Text Box 19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3" name="Text Box 2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4" name="Text Box 21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5" name="Text Box 2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6" name="Text Box 23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7" name="Text Box 2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0" name="Text Box 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2" name="Text Box 1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3" name="Text Box 1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6" name="Text Box 17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7" name="Text Box 1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8" name="Text Box 19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69" name="Text Box 2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0" name="Text Box 21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1" name="Text Box 2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2" name="Text Box 23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3" name="Text Box 2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79" name="Text Box 1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1" name="Text Box 1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4" name="Text Box 19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5" name="Text Box 2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6" name="Text Box 21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7" name="Text Box 2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8" name="Text Box 23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89" name="Text Box 2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2" name="Text Box 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4" name="Text Box 1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5" name="Text Box 1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6" name="Text Box 1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7" name="Text Box 16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8" name="Text Box 17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200" name="Text Box 19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201" name="Text Box 20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202" name="Text Box 21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203" name="Text Box 22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204" name="Text Box 23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205" name="Text Box 24"/>
        <xdr:cNvSpPr txBox="1">
          <a:spLocks noChangeArrowheads="1"/>
        </xdr:cNvSpPr>
      </xdr:nvSpPr>
      <xdr:spPr bwMode="auto">
        <a:xfrm>
          <a:off x="11361420" y="413194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975360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975360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975360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975360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2" name="Text Box 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4" name="Text Box 1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5" name="Text Box 1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7" name="Text Box 1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8" name="Text Box 17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19" name="Text Box 1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0" name="Text Box 19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1" name="Text Box 2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2" name="Text Box 21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3" name="Text Box 2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4" name="Text Box 23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5" name="Text Box 2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0" name="Text Box 1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1" name="Text Box 1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4" name="Text Box 17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5" name="Text Box 1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7" name="Text Box 2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8" name="Text Box 21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39" name="Text Box 2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0" name="Text Box 23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1" name="Text Box 2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4" name="Text Box 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5" name="Text Box 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6" name="Text Box 1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7" name="Text Box 1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49" name="Text Box 1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0" name="Text Box 17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1" name="Text Box 1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2" name="Text Box 19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3" name="Text Box 2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6" name="Text Box 23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7" name="Text Box 2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0" name="Text Box 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3" name="Text Box 1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4" name="Text Box 1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5" name="Text Box 16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6" name="Text Box 17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7" name="Text Box 18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8" name="Text Box 19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69" name="Text Box 20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70" name="Text Box 21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71" name="Text Box 22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72" name="Text Box 23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273" name="Text Box 24"/>
        <xdr:cNvSpPr txBox="1">
          <a:spLocks noChangeArrowheads="1"/>
        </xdr:cNvSpPr>
      </xdr:nvSpPr>
      <xdr:spPr bwMode="auto">
        <a:xfrm>
          <a:off x="975360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4762</xdr:rowOff>
    </xdr:from>
    <xdr:ext cx="18531" cy="318036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0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1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2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3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4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5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6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7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8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89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0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1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2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3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5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6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8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299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0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2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3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4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5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6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7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8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09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2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4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5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6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7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8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19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0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1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3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4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5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4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5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6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7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39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40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17</xdr:row>
      <xdr:rowOff>9525</xdr:rowOff>
    </xdr:from>
    <xdr:ext cx="18531" cy="318036"/>
    <xdr:sp macro="" textlink="">
      <xdr:nvSpPr>
        <xdr:cNvPr id="341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4762</xdr:rowOff>
    </xdr:from>
    <xdr:ext cx="18531" cy="318036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48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1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2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3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4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5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6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7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8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59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0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0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1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3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4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5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6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7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0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2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3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4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6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7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8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89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0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1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2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3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6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7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8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399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0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1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2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3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5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6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7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8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10</xdr:col>
      <xdr:colOff>0</xdr:colOff>
      <xdr:row>17</xdr:row>
      <xdr:rowOff>9525</xdr:rowOff>
    </xdr:from>
    <xdr:ext cx="18531" cy="318036"/>
    <xdr:sp macro="" textlink="">
      <xdr:nvSpPr>
        <xdr:cNvPr id="409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4762</xdr:rowOff>
    </xdr:from>
    <xdr:ext cx="18531" cy="318036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57650" y="4138612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15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16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18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19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0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1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2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3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4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6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7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8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29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2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4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5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6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7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8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39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1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2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3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4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7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8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49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0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1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2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4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5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6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7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8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59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0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1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3" name="Text Box 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4" name="Text Box 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5" name="Text Box 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6" name="Text Box 1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7" name="Text Box 1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8" name="Text Box 1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69" name="Text Box 16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0" name="Text Box 17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1" name="Text Box 18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3" name="Text Box 20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4" name="Text Box 21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5" name="Text Box 22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6" name="Text Box 23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14</xdr:col>
      <xdr:colOff>0</xdr:colOff>
      <xdr:row>17</xdr:row>
      <xdr:rowOff>9525</xdr:rowOff>
    </xdr:from>
    <xdr:ext cx="18531" cy="318036"/>
    <xdr:sp macro="" textlink="">
      <xdr:nvSpPr>
        <xdr:cNvPr id="477" name="Text Box 24"/>
        <xdr:cNvSpPr txBox="1">
          <a:spLocks noChangeArrowheads="1"/>
        </xdr:cNvSpPr>
      </xdr:nvSpPr>
      <xdr:spPr bwMode="auto">
        <a:xfrm>
          <a:off x="4057650" y="4143375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3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4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5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6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7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8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4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5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6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499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0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1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2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3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4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5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6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7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09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1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2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3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5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6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7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8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19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0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1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2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5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6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7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8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29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2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3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5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6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7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8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39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40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41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42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44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45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4762</xdr:rowOff>
    </xdr:from>
    <xdr:ext cx="18531" cy="318036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12583886" y="4097791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1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2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3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4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5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6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7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8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0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1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2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3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4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5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7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8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69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0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1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2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3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4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5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6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7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8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0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1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3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4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5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6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7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8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89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0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1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2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3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4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5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6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7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599" name="Text Box 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0" name="Text Box 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2" name="Text Box 1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3" name="Text Box 1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4" name="Text Box 1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5" name="Text Box 16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6" name="Text Box 17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7" name="Text Box 18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8" name="Text Box 19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09" name="Text Box 20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10" name="Text Box 21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11" name="Text Box 22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12" name="Text Box 23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0</xdr:colOff>
      <xdr:row>17</xdr:row>
      <xdr:rowOff>9525</xdr:rowOff>
    </xdr:from>
    <xdr:ext cx="18531" cy="318036"/>
    <xdr:sp macro="" textlink="">
      <xdr:nvSpPr>
        <xdr:cNvPr id="613" name="Text Box 24"/>
        <xdr:cNvSpPr txBox="1">
          <a:spLocks noChangeArrowheads="1"/>
        </xdr:cNvSpPr>
      </xdr:nvSpPr>
      <xdr:spPr bwMode="auto">
        <a:xfrm>
          <a:off x="12583886" y="410255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mailto:tuulikki@laesson.ee" TargetMode="External"/><Relationship Id="rId4" Type="http://schemas.openxmlformats.org/officeDocument/2006/relationships/hyperlink" Target="mailto:info@loovesi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data.nordpoolgroup.com/auction/day-ahead/prices?deliveryDate=latest&amp;currency=EUR&amp;aggregation=MonthlyAggregate&amp;deliveryAreas=EE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2"/>
  <sheetViews>
    <sheetView zoomScale="80" zoomScaleNormal="80" workbookViewId="0">
      <pane xSplit="1" ySplit="4" topLeftCell="B5" activePane="bottomRight" state="frozen"/>
      <selection activeCell="AB8" sqref="AB8"/>
      <selection pane="topRight" activeCell="AB8" sqref="AB8"/>
      <selection pane="bottomLeft" activeCell="AB8" sqref="AB8"/>
      <selection pane="bottomRight" activeCell="N10" sqref="N10"/>
    </sheetView>
  </sheetViews>
  <sheetFormatPr defaultColWidth="9.33203125" defaultRowHeight="15" customHeight="1"/>
  <cols>
    <col min="1" max="1" width="25.77734375" style="163" customWidth="1"/>
    <col min="2" max="2" width="7.77734375" style="163" customWidth="1"/>
    <col min="3" max="3" width="6" style="163" customWidth="1"/>
    <col min="4" max="4" width="8.77734375" style="163" customWidth="1"/>
    <col min="5" max="5" width="6" style="163" customWidth="1"/>
    <col min="6" max="6" width="8.77734375" style="163" customWidth="1"/>
    <col min="7" max="7" width="7.77734375" style="163" customWidth="1"/>
    <col min="8" max="8" width="6" style="163" customWidth="1"/>
    <col min="9" max="9" width="8.77734375" style="163" customWidth="1"/>
    <col min="10" max="10" width="6" style="163" customWidth="1"/>
    <col min="11" max="11" width="8.77734375" style="163" customWidth="1"/>
    <col min="12" max="12" width="7.77734375" style="163" customWidth="1"/>
    <col min="13" max="13" width="6" style="163" customWidth="1"/>
    <col min="14" max="14" width="8.77734375" style="163" customWidth="1"/>
    <col min="15" max="15" width="6" style="163" customWidth="1"/>
    <col min="16" max="16" width="8.77734375" style="163" customWidth="1"/>
    <col min="17" max="17" width="7.77734375" style="163" customWidth="1"/>
    <col min="18" max="18" width="6" style="163" customWidth="1"/>
    <col min="19" max="19" width="8.77734375" style="163" customWidth="1"/>
    <col min="20" max="20" width="6" style="163" customWidth="1"/>
    <col min="21" max="21" width="8.77734375" style="163" customWidth="1"/>
    <col min="22" max="22" width="7.77734375" style="163" customWidth="1"/>
    <col min="23" max="23" width="6" style="163" customWidth="1"/>
    <col min="24" max="24" width="8.77734375" style="163" customWidth="1"/>
    <col min="25" max="25" width="6" style="163" customWidth="1"/>
    <col min="26" max="26" width="8.77734375" style="163" customWidth="1"/>
    <col min="27" max="28" width="7.5546875" style="163" customWidth="1"/>
    <col min="29" max="29" width="9.44140625" style="163" bestFit="1" customWidth="1"/>
    <col min="30" max="30" width="11.44140625" style="163" bestFit="1" customWidth="1"/>
    <col min="31" max="31" width="9.44140625" style="163" bestFit="1" customWidth="1"/>
    <col min="32" max="16384" width="9.33203125" style="163"/>
  </cols>
  <sheetData>
    <row r="1" spans="1:31" s="277" customFormat="1" ht="15" customHeight="1" thickBot="1">
      <c r="A1" s="2026"/>
      <c r="B1" s="2027"/>
      <c r="C1" s="2027"/>
      <c r="D1" s="2028"/>
      <c r="E1" s="2027"/>
      <c r="F1" s="2027"/>
      <c r="G1" s="2027"/>
      <c r="H1" s="2027"/>
      <c r="I1" s="2028"/>
      <c r="J1" s="2027"/>
      <c r="K1" s="2027"/>
      <c r="L1" s="2027"/>
      <c r="M1" s="2028"/>
      <c r="N1" s="2028"/>
      <c r="O1" s="2027"/>
      <c r="P1" s="2027"/>
      <c r="Q1" s="2027"/>
      <c r="R1" s="2027"/>
      <c r="S1" s="2028"/>
      <c r="T1" s="2027"/>
      <c r="U1" s="2027"/>
      <c r="V1" s="2027"/>
      <c r="W1" s="2027"/>
      <c r="X1" s="2028"/>
      <c r="Y1" s="2027"/>
      <c r="Z1" s="2027"/>
    </row>
    <row r="2" spans="1:31" ht="15" customHeight="1">
      <c r="A2" s="1646" t="s">
        <v>319</v>
      </c>
      <c r="B2" s="1630">
        <v>2021</v>
      </c>
      <c r="C2" s="1631"/>
      <c r="D2" s="1631"/>
      <c r="E2" s="1631"/>
      <c r="F2" s="1632"/>
      <c r="G2" s="1630">
        <v>2022</v>
      </c>
      <c r="H2" s="1631"/>
      <c r="I2" s="1631"/>
      <c r="J2" s="1631"/>
      <c r="K2" s="1632"/>
      <c r="L2" s="1630">
        <v>2023</v>
      </c>
      <c r="M2" s="1631"/>
      <c r="N2" s="1631"/>
      <c r="O2" s="1631"/>
      <c r="P2" s="1632"/>
      <c r="Q2" s="1618">
        <v>2024</v>
      </c>
      <c r="R2" s="1619"/>
      <c r="S2" s="1619"/>
      <c r="T2" s="1619"/>
      <c r="U2" s="1620"/>
      <c r="V2" s="1618" t="s">
        <v>1000</v>
      </c>
      <c r="W2" s="1619"/>
      <c r="X2" s="1619"/>
      <c r="Y2" s="1619"/>
      <c r="Z2" s="1620"/>
      <c r="AA2" s="1626" t="s">
        <v>896</v>
      </c>
      <c r="AB2" s="1627"/>
      <c r="AC2" s="1201"/>
    </row>
    <row r="3" spans="1:31" ht="15" customHeight="1">
      <c r="A3" s="1647"/>
      <c r="B3" s="1633"/>
      <c r="C3" s="1634"/>
      <c r="D3" s="1634"/>
      <c r="E3" s="1634"/>
      <c r="F3" s="1635"/>
      <c r="G3" s="1633"/>
      <c r="H3" s="1634"/>
      <c r="I3" s="1634"/>
      <c r="J3" s="1634"/>
      <c r="K3" s="1635"/>
      <c r="L3" s="1633"/>
      <c r="M3" s="1634"/>
      <c r="N3" s="1634"/>
      <c r="O3" s="1634"/>
      <c r="P3" s="1635"/>
      <c r="Q3" s="1621"/>
      <c r="R3" s="1622"/>
      <c r="S3" s="1622"/>
      <c r="T3" s="1622"/>
      <c r="U3" s="1623"/>
      <c r="V3" s="811"/>
      <c r="W3" s="1198"/>
      <c r="X3" s="1198">
        <v>2025</v>
      </c>
      <c r="Y3" s="812"/>
      <c r="Z3" s="813"/>
      <c r="AA3" s="1624" t="s">
        <v>895</v>
      </c>
      <c r="AB3" s="1625" t="s">
        <v>1191</v>
      </c>
      <c r="AE3" s="293"/>
    </row>
    <row r="4" spans="1:31" ht="15" customHeight="1" thickBot="1">
      <c r="A4" s="1648"/>
      <c r="B4" s="805" t="s">
        <v>124</v>
      </c>
      <c r="C4" s="806" t="s">
        <v>125</v>
      </c>
      <c r="D4" s="806" t="s">
        <v>126</v>
      </c>
      <c r="E4" s="806" t="s">
        <v>125</v>
      </c>
      <c r="F4" s="807" t="s">
        <v>999</v>
      </c>
      <c r="G4" s="805" t="s">
        <v>124</v>
      </c>
      <c r="H4" s="806" t="s">
        <v>125</v>
      </c>
      <c r="I4" s="806" t="s">
        <v>126</v>
      </c>
      <c r="J4" s="806" t="s">
        <v>125</v>
      </c>
      <c r="K4" s="807" t="s">
        <v>999</v>
      </c>
      <c r="L4" s="805" t="s">
        <v>124</v>
      </c>
      <c r="M4" s="806" t="s">
        <v>125</v>
      </c>
      <c r="N4" s="806" t="s">
        <v>126</v>
      </c>
      <c r="O4" s="806" t="s">
        <v>125</v>
      </c>
      <c r="P4" s="807" t="s">
        <v>999</v>
      </c>
      <c r="Q4" s="805" t="s">
        <v>124</v>
      </c>
      <c r="R4" s="806" t="s">
        <v>125</v>
      </c>
      <c r="S4" s="806" t="s">
        <v>126</v>
      </c>
      <c r="T4" s="806" t="s">
        <v>125</v>
      </c>
      <c r="U4" s="807" t="s">
        <v>999</v>
      </c>
      <c r="V4" s="805" t="s">
        <v>124</v>
      </c>
      <c r="W4" s="806" t="s">
        <v>125</v>
      </c>
      <c r="X4" s="806" t="s">
        <v>126</v>
      </c>
      <c r="Y4" s="806" t="s">
        <v>125</v>
      </c>
      <c r="Z4" s="807" t="s">
        <v>999</v>
      </c>
      <c r="AA4" s="1624"/>
      <c r="AB4" s="1625"/>
      <c r="AC4" s="494"/>
    </row>
    <row r="5" spans="1:31" ht="15" customHeight="1">
      <c r="A5" s="835" t="s">
        <v>1040</v>
      </c>
      <c r="B5" s="794"/>
      <c r="C5" s="795"/>
      <c r="D5" s="795"/>
      <c r="E5" s="795"/>
      <c r="F5" s="796"/>
      <c r="G5" s="794"/>
      <c r="H5" s="795"/>
      <c r="I5" s="795"/>
      <c r="J5" s="795"/>
      <c r="K5" s="796"/>
      <c r="L5" s="794"/>
      <c r="M5" s="795"/>
      <c r="N5" s="795"/>
      <c r="O5" s="795"/>
      <c r="P5" s="796"/>
      <c r="Q5" s="794"/>
      <c r="R5" s="795"/>
      <c r="S5" s="795"/>
      <c r="T5" s="795"/>
      <c r="U5" s="796"/>
      <c r="V5" s="794"/>
      <c r="W5" s="795"/>
      <c r="X5" s="795"/>
      <c r="Y5" s="795"/>
      <c r="Z5" s="796"/>
      <c r="AA5" s="791"/>
      <c r="AB5" s="791"/>
      <c r="AC5" s="791"/>
    </row>
    <row r="6" spans="1:31" ht="15" customHeight="1">
      <c r="A6" s="1052" t="s">
        <v>733</v>
      </c>
      <c r="B6" s="817">
        <v>1.23</v>
      </c>
      <c r="C6" s="315" t="s">
        <v>174</v>
      </c>
      <c r="D6" s="6">
        <v>19886</v>
      </c>
      <c r="E6" s="315" t="s">
        <v>354</v>
      </c>
      <c r="F6" s="166">
        <f t="shared" ref="F6:F15" si="0">B6*D6</f>
        <v>24459.78</v>
      </c>
      <c r="G6" s="817">
        <v>1.23</v>
      </c>
      <c r="H6" s="315" t="s">
        <v>174</v>
      </c>
      <c r="I6" s="6">
        <v>47017</v>
      </c>
      <c r="J6" s="315" t="s">
        <v>354</v>
      </c>
      <c r="K6" s="166">
        <f t="shared" ref="K6:K15" si="1">G6*I6</f>
        <v>57830.909999999996</v>
      </c>
      <c r="L6" s="817"/>
      <c r="M6" s="315" t="s">
        <v>174</v>
      </c>
      <c r="N6" s="6"/>
      <c r="O6" s="315" t="s">
        <v>354</v>
      </c>
      <c r="P6" s="166">
        <f t="shared" ref="P6:P15" si="2">L6*N6</f>
        <v>0</v>
      </c>
      <c r="Q6" s="817"/>
      <c r="R6" s="315" t="s">
        <v>174</v>
      </c>
      <c r="S6" s="6"/>
      <c r="T6" s="315" t="s">
        <v>354</v>
      </c>
      <c r="U6" s="166">
        <f t="shared" ref="U6:U15" si="3">Q6*S6</f>
        <v>0</v>
      </c>
      <c r="V6" s="817"/>
      <c r="W6" s="315" t="s">
        <v>174</v>
      </c>
      <c r="X6" s="6"/>
      <c r="Y6" s="315" t="s">
        <v>354</v>
      </c>
      <c r="Z6" s="166">
        <f t="shared" ref="Z6" si="4">V6*X6</f>
        <v>0</v>
      </c>
      <c r="AA6" s="274"/>
      <c r="AB6" s="275"/>
    </row>
    <row r="7" spans="1:31" ht="15" customHeight="1" thickBot="1">
      <c r="A7" s="804" t="s">
        <v>893</v>
      </c>
      <c r="B7" s="1048"/>
      <c r="C7" s="1049" t="s">
        <v>175</v>
      </c>
      <c r="D7" s="1050"/>
      <c r="E7" s="1049" t="s">
        <v>41</v>
      </c>
      <c r="F7" s="1051">
        <f>B7*D7</f>
        <v>0</v>
      </c>
      <c r="G7" s="1048">
        <v>26.87</v>
      </c>
      <c r="H7" s="1049" t="s">
        <v>175</v>
      </c>
      <c r="I7" s="1050">
        <v>7</v>
      </c>
      <c r="J7" s="1049" t="s">
        <v>41</v>
      </c>
      <c r="K7" s="1051">
        <f>G7*I7</f>
        <v>188.09</v>
      </c>
      <c r="L7" s="1048"/>
      <c r="M7" s="1049" t="s">
        <v>175</v>
      </c>
      <c r="N7" s="1050"/>
      <c r="O7" s="1049" t="s">
        <v>41</v>
      </c>
      <c r="P7" s="1051">
        <f>L7*N7</f>
        <v>0</v>
      </c>
      <c r="Q7" s="1048"/>
      <c r="R7" s="1049" t="s">
        <v>175</v>
      </c>
      <c r="S7" s="1050"/>
      <c r="T7" s="1049" t="s">
        <v>41</v>
      </c>
      <c r="U7" s="1051">
        <f>Q7*S7</f>
        <v>0</v>
      </c>
      <c r="V7" s="1048"/>
      <c r="W7" s="1049" t="s">
        <v>175</v>
      </c>
      <c r="X7" s="1050"/>
      <c r="Y7" s="1049" t="s">
        <v>41</v>
      </c>
      <c r="Z7" s="1051">
        <f>V7*X7</f>
        <v>0</v>
      </c>
      <c r="AA7" s="274"/>
      <c r="AB7" s="275"/>
    </row>
    <row r="8" spans="1:31" ht="15" customHeight="1" thickTop="1">
      <c r="A8" s="1649" t="s">
        <v>702</v>
      </c>
      <c r="B8" s="821"/>
      <c r="C8" s="508" t="s">
        <v>174</v>
      </c>
      <c r="D8" s="509"/>
      <c r="E8" s="508" t="s">
        <v>354</v>
      </c>
      <c r="F8" s="510">
        <f t="shared" si="0"/>
        <v>0</v>
      </c>
      <c r="G8" s="821">
        <v>0.48</v>
      </c>
      <c r="H8" s="508" t="s">
        <v>174</v>
      </c>
      <c r="I8" s="509">
        <f>11717*0+15657</f>
        <v>15657</v>
      </c>
      <c r="J8" s="508" t="s">
        <v>354</v>
      </c>
      <c r="K8" s="510">
        <f t="shared" si="1"/>
        <v>7515.36</v>
      </c>
      <c r="L8" s="821">
        <v>0.57999999999999996</v>
      </c>
      <c r="M8" s="508" t="s">
        <v>174</v>
      </c>
      <c r="N8" s="509">
        <f>67506+1565</f>
        <v>69071</v>
      </c>
      <c r="O8" s="508" t="s">
        <v>354</v>
      </c>
      <c r="P8" s="510">
        <f t="shared" si="2"/>
        <v>40061.18</v>
      </c>
      <c r="Q8" s="821">
        <v>0.57999999999999996</v>
      </c>
      <c r="R8" s="508" t="s">
        <v>174</v>
      </c>
      <c r="S8" s="792">
        <v>12877</v>
      </c>
      <c r="T8" s="508" t="s">
        <v>354</v>
      </c>
      <c r="U8" s="510">
        <f t="shared" si="3"/>
        <v>7468.66</v>
      </c>
      <c r="V8" s="821">
        <v>0.85</v>
      </c>
      <c r="W8" s="508" t="s">
        <v>174</v>
      </c>
      <c r="X8" s="792">
        <f>SUM(S8:S10)</f>
        <v>19918</v>
      </c>
      <c r="Y8" s="508" t="s">
        <v>354</v>
      </c>
      <c r="Z8" s="510">
        <f t="shared" ref="Z8:Z15" si="5">V8*X8</f>
        <v>16930.3</v>
      </c>
      <c r="AA8" s="274">
        <f>(SUM(S8:S10)-SUM(N8:N10))/SUM(N8:N10)</f>
        <v>-0.71163006182044564</v>
      </c>
      <c r="AB8" s="274">
        <f>(SUM(X8:X10)-SUM(S8:S10))/SUM(S8:S10)</f>
        <v>0</v>
      </c>
      <c r="AC8" s="781" t="s">
        <v>354</v>
      </c>
    </row>
    <row r="9" spans="1:31" ht="15" customHeight="1">
      <c r="A9" s="1650"/>
      <c r="B9" s="1048"/>
      <c r="C9" s="316" t="s">
        <v>174</v>
      </c>
      <c r="D9" s="798"/>
      <c r="E9" s="316" t="s">
        <v>354</v>
      </c>
      <c r="F9" s="799">
        <f t="shared" ref="F9" si="6">B9*D9</f>
        <v>0</v>
      </c>
      <c r="G9" s="1048">
        <v>0.57999999999999996</v>
      </c>
      <c r="H9" s="316" t="s">
        <v>174</v>
      </c>
      <c r="I9" s="798">
        <v>14124</v>
      </c>
      <c r="J9" s="316" t="s">
        <v>354</v>
      </c>
      <c r="K9" s="799">
        <f t="shared" si="1"/>
        <v>8191.9199999999992</v>
      </c>
      <c r="L9" s="1048"/>
      <c r="M9" s="316" t="s">
        <v>174</v>
      </c>
      <c r="N9" s="798"/>
      <c r="O9" s="316" t="s">
        <v>354</v>
      </c>
      <c r="P9" s="799">
        <f t="shared" si="2"/>
        <v>0</v>
      </c>
      <c r="Q9" s="1048">
        <v>0.78</v>
      </c>
      <c r="R9" s="316" t="s">
        <v>174</v>
      </c>
      <c r="S9" s="798">
        <v>5821</v>
      </c>
      <c r="T9" s="316" t="s">
        <v>354</v>
      </c>
      <c r="U9" s="799">
        <f t="shared" si="3"/>
        <v>4540.38</v>
      </c>
      <c r="V9" s="1048"/>
      <c r="W9" s="316" t="s">
        <v>174</v>
      </c>
      <c r="X9" s="798"/>
      <c r="Y9" s="316" t="s">
        <v>354</v>
      </c>
      <c r="Z9" s="799">
        <f t="shared" si="5"/>
        <v>0</v>
      </c>
      <c r="AA9" s="274"/>
      <c r="AB9" s="274"/>
      <c r="AC9" s="1199"/>
    </row>
    <row r="10" spans="1:31" ht="15" customHeight="1" thickBot="1">
      <c r="A10" s="1651"/>
      <c r="B10" s="822"/>
      <c r="C10" s="505" t="s">
        <v>174</v>
      </c>
      <c r="D10" s="506"/>
      <c r="E10" s="505" t="s">
        <v>354</v>
      </c>
      <c r="F10" s="507">
        <f t="shared" si="0"/>
        <v>0</v>
      </c>
      <c r="G10" s="822"/>
      <c r="H10" s="505" t="s">
        <v>174</v>
      </c>
      <c r="I10" s="506"/>
      <c r="J10" s="505" t="s">
        <v>354</v>
      </c>
      <c r="K10" s="507">
        <f t="shared" si="1"/>
        <v>0</v>
      </c>
      <c r="L10" s="822"/>
      <c r="M10" s="505" t="s">
        <v>174</v>
      </c>
      <c r="N10" s="506"/>
      <c r="O10" s="505" t="s">
        <v>354</v>
      </c>
      <c r="P10" s="507">
        <f t="shared" si="2"/>
        <v>0</v>
      </c>
      <c r="Q10" s="822">
        <v>0.79</v>
      </c>
      <c r="R10" s="505" t="s">
        <v>174</v>
      </c>
      <c r="S10" s="793">
        <v>1220</v>
      </c>
      <c r="T10" s="505" t="s">
        <v>354</v>
      </c>
      <c r="U10" s="507">
        <f t="shared" si="3"/>
        <v>963.80000000000007</v>
      </c>
      <c r="V10" s="822"/>
      <c r="W10" s="505" t="s">
        <v>174</v>
      </c>
      <c r="X10" s="793"/>
      <c r="Y10" s="505" t="s">
        <v>354</v>
      </c>
      <c r="Z10" s="507">
        <f t="shared" si="5"/>
        <v>0</v>
      </c>
      <c r="AA10" s="274"/>
      <c r="AB10" s="274"/>
      <c r="AC10" s="275"/>
    </row>
    <row r="11" spans="1:31" ht="15" customHeight="1" thickTop="1">
      <c r="A11" s="1644" t="s">
        <v>703</v>
      </c>
      <c r="B11" s="1607">
        <v>0.57999999999999996</v>
      </c>
      <c r="C11" s="1608" t="s">
        <v>174</v>
      </c>
      <c r="D11" s="1609">
        <v>516966</v>
      </c>
      <c r="E11" s="1608" t="s">
        <v>354</v>
      </c>
      <c r="F11" s="1610">
        <f t="shared" si="0"/>
        <v>299840.27999999997</v>
      </c>
      <c r="G11" s="1607">
        <v>0.57999999999999996</v>
      </c>
      <c r="H11" s="1608" t="s">
        <v>174</v>
      </c>
      <c r="I11" s="1609">
        <f>358967+3201</f>
        <v>362168</v>
      </c>
      <c r="J11" s="1608" t="s">
        <v>354</v>
      </c>
      <c r="K11" s="1610">
        <f t="shared" si="1"/>
        <v>210057.43999999997</v>
      </c>
      <c r="L11" s="1607">
        <v>0.72</v>
      </c>
      <c r="M11" s="1608" t="s">
        <v>174</v>
      </c>
      <c r="N11" s="1609">
        <v>509741</v>
      </c>
      <c r="O11" s="1608" t="s">
        <v>354</v>
      </c>
      <c r="P11" s="1610">
        <f t="shared" si="2"/>
        <v>367013.51999999996</v>
      </c>
      <c r="Q11" s="1607">
        <v>0.72</v>
      </c>
      <c r="R11" s="1608" t="s">
        <v>174</v>
      </c>
      <c r="S11" s="1609">
        <v>254936</v>
      </c>
      <c r="T11" s="1608" t="s">
        <v>354</v>
      </c>
      <c r="U11" s="1610">
        <f t="shared" si="3"/>
        <v>183553.91999999998</v>
      </c>
      <c r="V11" s="1607">
        <v>0.8</v>
      </c>
      <c r="W11" s="1608" t="s">
        <v>174</v>
      </c>
      <c r="X11" s="1611">
        <f>SUM(S11:S13)</f>
        <v>502269</v>
      </c>
      <c r="Y11" s="1608" t="s">
        <v>354</v>
      </c>
      <c r="Z11" s="1610">
        <f t="shared" si="5"/>
        <v>401815.2</v>
      </c>
      <c r="AA11" s="274">
        <f>(SUM(S11:S13)-SUM(N11:N13))/SUM(N11:N13)</f>
        <v>-1.4658424572478965E-2</v>
      </c>
      <c r="AB11" s="274">
        <f>(SUM(X11:X13)-SUM(S11:S13))/SUM(S11:S13)</f>
        <v>0</v>
      </c>
      <c r="AC11" s="781" t="s">
        <v>354</v>
      </c>
    </row>
    <row r="12" spans="1:31" ht="15" customHeight="1">
      <c r="A12" s="1645"/>
      <c r="B12" s="817"/>
      <c r="C12" s="315" t="s">
        <v>174</v>
      </c>
      <c r="D12" s="6"/>
      <c r="E12" s="315" t="s">
        <v>354</v>
      </c>
      <c r="F12" s="166">
        <f t="shared" si="0"/>
        <v>0</v>
      </c>
      <c r="G12" s="817">
        <v>0.72</v>
      </c>
      <c r="H12" s="315" t="s">
        <v>174</v>
      </c>
      <c r="I12" s="6">
        <v>99363</v>
      </c>
      <c r="J12" s="315" t="s">
        <v>354</v>
      </c>
      <c r="K12" s="166">
        <f t="shared" si="1"/>
        <v>71541.36</v>
      </c>
      <c r="L12" s="817"/>
      <c r="M12" s="315" t="s">
        <v>174</v>
      </c>
      <c r="N12" s="6"/>
      <c r="O12" s="315" t="s">
        <v>354</v>
      </c>
      <c r="P12" s="166">
        <f t="shared" si="2"/>
        <v>0</v>
      </c>
      <c r="Q12" s="817">
        <v>0.78</v>
      </c>
      <c r="R12" s="315" t="s">
        <v>174</v>
      </c>
      <c r="S12" s="6">
        <v>138711</v>
      </c>
      <c r="T12" s="315" t="s">
        <v>354</v>
      </c>
      <c r="U12" s="166">
        <f t="shared" si="3"/>
        <v>108194.58</v>
      </c>
      <c r="V12" s="817"/>
      <c r="W12" s="315" t="s">
        <v>174</v>
      </c>
      <c r="X12" s="6"/>
      <c r="Y12" s="315" t="s">
        <v>354</v>
      </c>
      <c r="Z12" s="166">
        <f t="shared" si="5"/>
        <v>0</v>
      </c>
      <c r="AA12" s="274"/>
      <c r="AB12" s="274"/>
      <c r="AC12" s="1199"/>
    </row>
    <row r="13" spans="1:31" ht="15" customHeight="1" thickBot="1">
      <c r="A13" s="1652"/>
      <c r="B13" s="822"/>
      <c r="C13" s="505" t="s">
        <v>174</v>
      </c>
      <c r="D13" s="506"/>
      <c r="E13" s="511" t="s">
        <v>354</v>
      </c>
      <c r="F13" s="507">
        <f t="shared" si="0"/>
        <v>0</v>
      </c>
      <c r="G13" s="822"/>
      <c r="H13" s="505" t="s">
        <v>174</v>
      </c>
      <c r="I13" s="506"/>
      <c r="J13" s="511" t="s">
        <v>354</v>
      </c>
      <c r="K13" s="507">
        <f t="shared" si="1"/>
        <v>0</v>
      </c>
      <c r="L13" s="822"/>
      <c r="M13" s="505" t="s">
        <v>174</v>
      </c>
      <c r="N13" s="506"/>
      <c r="O13" s="511" t="s">
        <v>354</v>
      </c>
      <c r="P13" s="507">
        <f t="shared" si="2"/>
        <v>0</v>
      </c>
      <c r="Q13" s="1612">
        <v>0.79</v>
      </c>
      <c r="R13" s="511" t="s">
        <v>174</v>
      </c>
      <c r="S13" s="1615">
        <v>108622</v>
      </c>
      <c r="T13" s="511" t="s">
        <v>354</v>
      </c>
      <c r="U13" s="1613">
        <f t="shared" si="3"/>
        <v>85811.38</v>
      </c>
      <c r="V13" s="822"/>
      <c r="W13" s="505" t="s">
        <v>174</v>
      </c>
      <c r="X13" s="506"/>
      <c r="Y13" s="511" t="s">
        <v>354</v>
      </c>
      <c r="Z13" s="507">
        <f t="shared" si="5"/>
        <v>0</v>
      </c>
      <c r="AA13" s="274"/>
      <c r="AB13" s="274"/>
      <c r="AC13" s="275"/>
    </row>
    <row r="14" spans="1:31" ht="15" customHeight="1" thickTop="1">
      <c r="A14" s="1644" t="s">
        <v>704</v>
      </c>
      <c r="B14" s="821"/>
      <c r="C14" s="508" t="s">
        <v>174</v>
      </c>
      <c r="D14" s="509"/>
      <c r="E14" s="508" t="s">
        <v>354</v>
      </c>
      <c r="F14" s="510">
        <f t="shared" si="0"/>
        <v>0</v>
      </c>
      <c r="G14" s="821">
        <v>1.02</v>
      </c>
      <c r="H14" s="508" t="s">
        <v>174</v>
      </c>
      <c r="I14" s="509">
        <v>10960.6</v>
      </c>
      <c r="J14" s="508" t="s">
        <v>354</v>
      </c>
      <c r="K14" s="510">
        <f t="shared" si="1"/>
        <v>11179.812</v>
      </c>
      <c r="L14" s="821">
        <v>1.02</v>
      </c>
      <c r="M14" s="508" t="s">
        <v>174</v>
      </c>
      <c r="N14" s="509">
        <v>23090</v>
      </c>
      <c r="O14" s="508" t="s">
        <v>354</v>
      </c>
      <c r="P14" s="510">
        <f t="shared" si="2"/>
        <v>23551.8</v>
      </c>
      <c r="Q14" s="820">
        <v>1.02</v>
      </c>
      <c r="R14" s="508" t="s">
        <v>174</v>
      </c>
      <c r="S14" s="509">
        <v>2028.7</v>
      </c>
      <c r="T14" s="508" t="s">
        <v>354</v>
      </c>
      <c r="U14" s="510">
        <f t="shared" si="3"/>
        <v>2069.2739999999999</v>
      </c>
      <c r="V14" s="820">
        <v>0.92</v>
      </c>
      <c r="W14" s="508" t="s">
        <v>174</v>
      </c>
      <c r="X14" s="792">
        <f>SUM(S14:S15)</f>
        <v>25383.200000000001</v>
      </c>
      <c r="Y14" s="508" t="s">
        <v>354</v>
      </c>
      <c r="Z14" s="510">
        <f t="shared" si="5"/>
        <v>23352.544000000002</v>
      </c>
      <c r="AA14" s="274">
        <f>(SUM(S14:S15)-SUM(N14:N15))/SUM(N14:N15)</f>
        <v>9.9315721091381579E-2</v>
      </c>
      <c r="AB14" s="274">
        <f>(SUM(X14:X15)-SUM(S14:S15))/SUM(S14:S15)</f>
        <v>0</v>
      </c>
      <c r="AC14" s="781" t="s">
        <v>354</v>
      </c>
    </row>
    <row r="15" spans="1:31" ht="15" customHeight="1" thickBot="1">
      <c r="A15" s="1645"/>
      <c r="B15" s="1053"/>
      <c r="C15" s="1054" t="s">
        <v>174</v>
      </c>
      <c r="D15" s="1055"/>
      <c r="E15" s="1054" t="s">
        <v>354</v>
      </c>
      <c r="F15" s="1056">
        <f t="shared" si="0"/>
        <v>0</v>
      </c>
      <c r="G15" s="1053"/>
      <c r="H15" s="1054" t="s">
        <v>174</v>
      </c>
      <c r="I15" s="1055"/>
      <c r="J15" s="1054" t="s">
        <v>354</v>
      </c>
      <c r="K15" s="1056">
        <f t="shared" si="1"/>
        <v>0</v>
      </c>
      <c r="L15" s="1053"/>
      <c r="M15" s="1054" t="s">
        <v>174</v>
      </c>
      <c r="N15" s="1055"/>
      <c r="O15" s="1054" t="s">
        <v>354</v>
      </c>
      <c r="P15" s="1056">
        <f t="shared" si="2"/>
        <v>0</v>
      </c>
      <c r="Q15" s="1053">
        <v>0.92</v>
      </c>
      <c r="R15" s="1054" t="s">
        <v>174</v>
      </c>
      <c r="S15" s="1055">
        <v>23354.5</v>
      </c>
      <c r="T15" s="1054" t="s">
        <v>354</v>
      </c>
      <c r="U15" s="1056">
        <f t="shared" si="3"/>
        <v>21486.14</v>
      </c>
      <c r="V15" s="1053"/>
      <c r="W15" s="1054" t="s">
        <v>174</v>
      </c>
      <c r="X15" s="1055"/>
      <c r="Y15" s="1054" t="s">
        <v>354</v>
      </c>
      <c r="Z15" s="1056">
        <f t="shared" si="5"/>
        <v>0</v>
      </c>
      <c r="AA15" s="274"/>
      <c r="AB15" s="274"/>
      <c r="AC15" s="275"/>
    </row>
    <row r="16" spans="1:31" s="167" customFormat="1" ht="15" customHeight="1">
      <c r="A16" s="1057" t="s">
        <v>148</v>
      </c>
      <c r="B16" s="1058"/>
      <c r="C16" s="1059"/>
      <c r="D16" s="1059"/>
      <c r="E16" s="1059"/>
      <c r="F16" s="1063">
        <f>SUM(F6:F15)</f>
        <v>324300.05999999994</v>
      </c>
      <c r="G16" s="1058"/>
      <c r="H16" s="1059"/>
      <c r="I16" s="1059"/>
      <c r="J16" s="1059"/>
      <c r="K16" s="1063">
        <f>SUM(K6:K15)</f>
        <v>366504.89199999993</v>
      </c>
      <c r="L16" s="1058"/>
      <c r="M16" s="1059"/>
      <c r="N16" s="1059"/>
      <c r="O16" s="1059"/>
      <c r="P16" s="1063">
        <f>SUM(P6:P15)</f>
        <v>430626.49999999994</v>
      </c>
      <c r="Q16" s="1058"/>
      <c r="R16" s="1059"/>
      <c r="S16" s="1059"/>
      <c r="T16" s="1059"/>
      <c r="U16" s="1063">
        <f>SUM(U6:U15)</f>
        <v>414088.13399999996</v>
      </c>
      <c r="V16" s="1058"/>
      <c r="W16" s="1059"/>
      <c r="X16" s="1059"/>
      <c r="Y16" s="1059"/>
      <c r="Z16" s="1063">
        <f>SUM(Z6:Z15)</f>
        <v>442098.04399999999</v>
      </c>
      <c r="AA16" s="274"/>
      <c r="AB16" s="274"/>
      <c r="AC16" s="781"/>
    </row>
    <row r="17" spans="1:30" s="167" customFormat="1" ht="15" customHeight="1">
      <c r="A17" s="1185" t="s">
        <v>1120</v>
      </c>
      <c r="B17" s="1064"/>
      <c r="C17" s="1062"/>
      <c r="D17" s="1062">
        <f>SUM(D6:D10)</f>
        <v>19886</v>
      </c>
      <c r="E17" s="1062" t="s">
        <v>354</v>
      </c>
      <c r="F17" s="1186">
        <f>SUM(F6:F10)</f>
        <v>24459.78</v>
      </c>
      <c r="G17" s="1064"/>
      <c r="H17" s="1062"/>
      <c r="I17" s="1062">
        <f>SUM(I6:I10)</f>
        <v>76805</v>
      </c>
      <c r="J17" s="1062" t="s">
        <v>354</v>
      </c>
      <c r="K17" s="1186">
        <f>SUM(K6:K10)</f>
        <v>73726.28</v>
      </c>
      <c r="L17" s="1064"/>
      <c r="M17" s="1062"/>
      <c r="N17" s="1062">
        <f>SUM(N6:N10)</f>
        <v>69071</v>
      </c>
      <c r="O17" s="1062" t="s">
        <v>354</v>
      </c>
      <c r="P17" s="1186">
        <f>SUM(P6:P10)</f>
        <v>40061.18</v>
      </c>
      <c r="Q17" s="1064"/>
      <c r="R17" s="1062"/>
      <c r="S17" s="1062">
        <f>SUM(S6:S10)</f>
        <v>19918</v>
      </c>
      <c r="T17" s="1062" t="s">
        <v>354</v>
      </c>
      <c r="U17" s="1186">
        <f>SUM(U6:U10)</f>
        <v>12972.84</v>
      </c>
      <c r="V17" s="1064"/>
      <c r="W17" s="1062"/>
      <c r="X17" s="1062">
        <f>SUM(X6:X10)</f>
        <v>19918</v>
      </c>
      <c r="Y17" s="1062" t="s">
        <v>354</v>
      </c>
      <c r="Z17" s="1186">
        <f>SUM(Z6:Z10)</f>
        <v>16930.3</v>
      </c>
      <c r="AA17" s="274">
        <f>(S17-N17)/N17</f>
        <v>-0.71163006182044564</v>
      </c>
      <c r="AB17" s="274">
        <f>(X17-S17)/S17</f>
        <v>0</v>
      </c>
      <c r="AC17" s="1199" t="s">
        <v>354</v>
      </c>
      <c r="AD17" s="1616"/>
    </row>
    <row r="18" spans="1:30" s="167" customFormat="1" ht="15" customHeight="1" thickBot="1">
      <c r="A18" s="1187" t="s">
        <v>1239</v>
      </c>
      <c r="B18" s="1065"/>
      <c r="C18" s="1066"/>
      <c r="D18" s="1066">
        <f>SUM(D11:D15)</f>
        <v>516966</v>
      </c>
      <c r="E18" s="1066" t="s">
        <v>354</v>
      </c>
      <c r="F18" s="1188">
        <f>SUM(F11:F15)</f>
        <v>299840.27999999997</v>
      </c>
      <c r="G18" s="1065"/>
      <c r="H18" s="1066"/>
      <c r="I18" s="1066">
        <f>SUM(I11:I15)</f>
        <v>472491.6</v>
      </c>
      <c r="J18" s="1066" t="s">
        <v>354</v>
      </c>
      <c r="K18" s="1188">
        <f>SUM(K11:K15)</f>
        <v>292778.61199999996</v>
      </c>
      <c r="L18" s="1065"/>
      <c r="M18" s="1066"/>
      <c r="N18" s="1066">
        <f>SUM(N11:N15)</f>
        <v>532831</v>
      </c>
      <c r="O18" s="1066" t="s">
        <v>354</v>
      </c>
      <c r="P18" s="1188">
        <f>SUM(P11:P15)</f>
        <v>390565.31999999995</v>
      </c>
      <c r="Q18" s="1065"/>
      <c r="R18" s="1066"/>
      <c r="S18" s="1066">
        <f>SUM(S11:S15)</f>
        <v>527652.19999999995</v>
      </c>
      <c r="T18" s="1066" t="s">
        <v>354</v>
      </c>
      <c r="U18" s="1188">
        <f>SUM(U11:U15)</f>
        <v>401115.29399999999</v>
      </c>
      <c r="V18" s="1065"/>
      <c r="W18" s="1066"/>
      <c r="X18" s="1066">
        <f>SUM(X11:X15)</f>
        <v>527652.19999999995</v>
      </c>
      <c r="Y18" s="1066" t="s">
        <v>354</v>
      </c>
      <c r="Z18" s="1188">
        <f>SUM(Z11:Z15)</f>
        <v>425167.74400000001</v>
      </c>
      <c r="AA18" s="274">
        <f>(S18-N18)/N18</f>
        <v>-9.7194044640796923E-3</v>
      </c>
      <c r="AB18" s="274">
        <f>(X18-S18)/S18</f>
        <v>0</v>
      </c>
      <c r="AC18" s="1199" t="s">
        <v>354</v>
      </c>
    </row>
    <row r="19" spans="1:30" s="167" customFormat="1" ht="15" customHeight="1" thickBot="1">
      <c r="A19" s="1060"/>
      <c r="S19" s="1061"/>
      <c r="T19" s="314"/>
      <c r="X19" s="1061"/>
      <c r="Y19" s="314"/>
      <c r="AA19" s="719"/>
      <c r="AB19" s="719"/>
    </row>
    <row r="20" spans="1:30" ht="15" customHeight="1">
      <c r="A20" s="1646" t="s">
        <v>145</v>
      </c>
      <c r="B20" s="1630">
        <v>2021</v>
      </c>
      <c r="C20" s="1631"/>
      <c r="D20" s="1631"/>
      <c r="E20" s="1631"/>
      <c r="F20" s="1632"/>
      <c r="G20" s="1630">
        <v>2022</v>
      </c>
      <c r="H20" s="1631"/>
      <c r="I20" s="1631"/>
      <c r="J20" s="1631"/>
      <c r="K20" s="1632"/>
      <c r="L20" s="1630">
        <v>2023</v>
      </c>
      <c r="M20" s="1631"/>
      <c r="N20" s="1631"/>
      <c r="O20" s="1631"/>
      <c r="P20" s="1632"/>
      <c r="Q20" s="1618" t="s">
        <v>1195</v>
      </c>
      <c r="R20" s="1619"/>
      <c r="S20" s="1619"/>
      <c r="T20" s="1619"/>
      <c r="U20" s="1620"/>
      <c r="V20" s="1618" t="s">
        <v>1000</v>
      </c>
      <c r="W20" s="1619"/>
      <c r="X20" s="1619"/>
      <c r="Y20" s="1619"/>
      <c r="Z20" s="1620"/>
      <c r="AA20" s="720"/>
      <c r="AB20" s="720"/>
    </row>
    <row r="21" spans="1:30" ht="15" customHeight="1">
      <c r="A21" s="1647"/>
      <c r="B21" s="1633"/>
      <c r="C21" s="1634"/>
      <c r="D21" s="1634"/>
      <c r="E21" s="1634"/>
      <c r="F21" s="1635"/>
      <c r="G21" s="1633"/>
      <c r="H21" s="1634"/>
      <c r="I21" s="1634"/>
      <c r="J21" s="1634"/>
      <c r="K21" s="1635"/>
      <c r="L21" s="1633"/>
      <c r="M21" s="1634"/>
      <c r="N21" s="1634"/>
      <c r="O21" s="1634"/>
      <c r="P21" s="1635"/>
      <c r="Q21" s="1621"/>
      <c r="R21" s="1622"/>
      <c r="S21" s="1622"/>
      <c r="T21" s="1622"/>
      <c r="U21" s="1623"/>
      <c r="V21" s="811"/>
      <c r="W21" s="1198"/>
      <c r="X21" s="1198">
        <f>X3</f>
        <v>2025</v>
      </c>
      <c r="Y21" s="812"/>
      <c r="Z21" s="813"/>
      <c r="AA21" s="720"/>
      <c r="AB21" s="720"/>
    </row>
    <row r="22" spans="1:30" ht="15" customHeight="1" thickBot="1">
      <c r="A22" s="1648"/>
      <c r="B22" s="805" t="s">
        <v>124</v>
      </c>
      <c r="C22" s="806" t="s">
        <v>125</v>
      </c>
      <c r="D22" s="806" t="s">
        <v>126</v>
      </c>
      <c r="E22" s="806" t="s">
        <v>125</v>
      </c>
      <c r="F22" s="807" t="s">
        <v>999</v>
      </c>
      <c r="G22" s="805" t="s">
        <v>124</v>
      </c>
      <c r="H22" s="806" t="s">
        <v>125</v>
      </c>
      <c r="I22" s="806" t="s">
        <v>126</v>
      </c>
      <c r="J22" s="806" t="s">
        <v>125</v>
      </c>
      <c r="K22" s="807" t="s">
        <v>999</v>
      </c>
      <c r="L22" s="805" t="s">
        <v>124</v>
      </c>
      <c r="M22" s="806" t="s">
        <v>125</v>
      </c>
      <c r="N22" s="806" t="s">
        <v>126</v>
      </c>
      <c r="O22" s="806" t="s">
        <v>125</v>
      </c>
      <c r="P22" s="807" t="s">
        <v>999</v>
      </c>
      <c r="Q22" s="805" t="s">
        <v>124</v>
      </c>
      <c r="R22" s="806" t="s">
        <v>125</v>
      </c>
      <c r="S22" s="806" t="s">
        <v>126</v>
      </c>
      <c r="T22" s="806" t="s">
        <v>125</v>
      </c>
      <c r="U22" s="807" t="s">
        <v>999</v>
      </c>
      <c r="V22" s="805" t="s">
        <v>124</v>
      </c>
      <c r="W22" s="806" t="s">
        <v>125</v>
      </c>
      <c r="X22" s="806" t="s">
        <v>126</v>
      </c>
      <c r="Y22" s="806" t="s">
        <v>125</v>
      </c>
      <c r="Z22" s="807" t="s">
        <v>999</v>
      </c>
      <c r="AA22" s="720"/>
      <c r="AB22" s="720"/>
    </row>
    <row r="23" spans="1:30" ht="15" customHeight="1">
      <c r="A23" s="800" t="s">
        <v>787</v>
      </c>
      <c r="B23" s="794"/>
      <c r="C23" s="795"/>
      <c r="D23" s="795"/>
      <c r="E23" s="795"/>
      <c r="F23" s="796"/>
      <c r="G23" s="794"/>
      <c r="H23" s="795"/>
      <c r="I23" s="795"/>
      <c r="J23" s="795"/>
      <c r="K23" s="796"/>
      <c r="L23" s="794"/>
      <c r="M23" s="795"/>
      <c r="N23" s="795"/>
      <c r="O23" s="795"/>
      <c r="P23" s="796"/>
      <c r="Q23" s="794"/>
      <c r="R23" s="795"/>
      <c r="S23" s="795"/>
      <c r="T23" s="795"/>
      <c r="U23" s="796"/>
      <c r="V23" s="794"/>
      <c r="W23" s="795"/>
      <c r="X23" s="795"/>
      <c r="Y23" s="795"/>
      <c r="Z23" s="796"/>
      <c r="AA23" s="720"/>
      <c r="AB23" s="720"/>
    </row>
    <row r="24" spans="1:30" ht="15" customHeight="1">
      <c r="A24" s="1638" t="s">
        <v>317</v>
      </c>
      <c r="B24" s="168"/>
      <c r="C24" s="318"/>
      <c r="D24" s="13"/>
      <c r="E24" s="317"/>
      <c r="F24" s="164"/>
      <c r="G24" s="165">
        <v>1.32</v>
      </c>
      <c r="H24" s="315" t="s">
        <v>174</v>
      </c>
      <c r="I24" s="6">
        <v>29028</v>
      </c>
      <c r="J24" s="316" t="s">
        <v>354</v>
      </c>
      <c r="K24" s="164">
        <f t="shared" ref="K24:K27" si="7">ROUND(G24*I24,0)</f>
        <v>38317</v>
      </c>
      <c r="L24" s="817">
        <v>1.32</v>
      </c>
      <c r="M24" s="315" t="s">
        <v>174</v>
      </c>
      <c r="N24" s="6">
        <v>220866.75999999998</v>
      </c>
      <c r="O24" s="316" t="s">
        <v>354</v>
      </c>
      <c r="P24" s="164">
        <f t="shared" ref="P24" si="8">ROUND(L24*N24,0)</f>
        <v>291544</v>
      </c>
      <c r="Q24" s="817">
        <v>1.32</v>
      </c>
      <c r="R24" s="315" t="s">
        <v>174</v>
      </c>
      <c r="S24" s="6">
        <v>243381</v>
      </c>
      <c r="T24" s="316" t="s">
        <v>354</v>
      </c>
      <c r="U24" s="166">
        <f>Q24*S24</f>
        <v>321262.92000000004</v>
      </c>
      <c r="V24" s="819">
        <f>TAOTLUS!G28</f>
        <v>2.287114344290496</v>
      </c>
      <c r="W24" s="315" t="s">
        <v>174</v>
      </c>
      <c r="X24" s="6">
        <f>S24+5*3*(110/1000*365)</f>
        <v>243983.25</v>
      </c>
      <c r="Y24" s="316" t="s">
        <v>354</v>
      </c>
      <c r="Z24" s="166">
        <f>V24*X24</f>
        <v>558017.59084161418</v>
      </c>
      <c r="AA24" s="274">
        <f>(S24-N24)/N24</f>
        <v>0.10193584584660915</v>
      </c>
      <c r="AB24" s="274">
        <f>(X24-S24)/S24</f>
        <v>2.4745152661875824E-3</v>
      </c>
      <c r="AC24" s="275" t="s">
        <v>354</v>
      </c>
    </row>
    <row r="25" spans="1:30" ht="15" customHeight="1">
      <c r="A25" s="1639"/>
      <c r="B25" s="165">
        <v>1</v>
      </c>
      <c r="C25" s="315" t="s">
        <v>174</v>
      </c>
      <c r="D25" s="6">
        <v>198074.7</v>
      </c>
      <c r="E25" s="316" t="s">
        <v>354</v>
      </c>
      <c r="F25" s="164">
        <f t="shared" ref="F25" si="9">ROUND(B25*D25,0)</f>
        <v>198075</v>
      </c>
      <c r="G25" s="165">
        <v>1</v>
      </c>
      <c r="H25" s="315" t="s">
        <v>174</v>
      </c>
      <c r="I25" s="6">
        <v>176323</v>
      </c>
      <c r="J25" s="316" t="s">
        <v>354</v>
      </c>
      <c r="K25" s="164">
        <f t="shared" si="7"/>
        <v>176323</v>
      </c>
      <c r="L25" s="819"/>
      <c r="M25" s="318"/>
      <c r="N25" s="13"/>
      <c r="O25" s="317"/>
      <c r="P25" s="164"/>
      <c r="Q25" s="819"/>
      <c r="R25" s="318"/>
      <c r="S25" s="13"/>
      <c r="T25" s="317"/>
      <c r="U25" s="166"/>
      <c r="V25" s="819"/>
      <c r="W25" s="318"/>
      <c r="X25" s="13"/>
      <c r="Y25" s="317"/>
      <c r="Z25" s="166"/>
      <c r="AA25" s="720"/>
      <c r="AB25" s="720"/>
    </row>
    <row r="26" spans="1:30" ht="15" customHeight="1">
      <c r="A26" s="1640" t="s">
        <v>318</v>
      </c>
      <c r="B26" s="168"/>
      <c r="C26" s="318"/>
      <c r="D26" s="13"/>
      <c r="E26" s="317"/>
      <c r="F26" s="164"/>
      <c r="G26" s="165">
        <v>1.97</v>
      </c>
      <c r="H26" s="315" t="s">
        <v>174</v>
      </c>
      <c r="I26" s="6">
        <v>29353</v>
      </c>
      <c r="J26" s="316" t="s">
        <v>354</v>
      </c>
      <c r="K26" s="164">
        <f t="shared" si="7"/>
        <v>57825</v>
      </c>
      <c r="L26" s="817">
        <v>1.97</v>
      </c>
      <c r="M26" s="315" t="s">
        <v>174</v>
      </c>
      <c r="N26" s="6">
        <v>199053.07299999997</v>
      </c>
      <c r="O26" s="316" t="s">
        <v>354</v>
      </c>
      <c r="P26" s="164">
        <f t="shared" ref="P26" si="10">ROUND(L26*N26,0)</f>
        <v>392135</v>
      </c>
      <c r="Q26" s="817">
        <v>1.97</v>
      </c>
      <c r="R26" s="315" t="s">
        <v>174</v>
      </c>
      <c r="S26" s="6">
        <v>207669.13699999999</v>
      </c>
      <c r="T26" s="316" t="s">
        <v>354</v>
      </c>
      <c r="U26" s="166">
        <f>Q26*S26</f>
        <v>409108.19988999999</v>
      </c>
      <c r="V26" s="819">
        <f>TAOTLUS!G29</f>
        <v>2.8811143442904958</v>
      </c>
      <c r="W26" s="315" t="s">
        <v>174</v>
      </c>
      <c r="X26" s="6">
        <f>S26</f>
        <v>207669.13699999999</v>
      </c>
      <c r="Y26" s="316" t="s">
        <v>354</v>
      </c>
      <c r="Z26" s="166">
        <f>V26*X26</f>
        <v>598318.52947712806</v>
      </c>
      <c r="AA26" s="274">
        <f>(S26-N26)/N26</f>
        <v>4.3285259906537664E-2</v>
      </c>
      <c r="AB26" s="274">
        <f>(X26-S26)/S26</f>
        <v>0</v>
      </c>
      <c r="AC26" s="275" t="s">
        <v>354</v>
      </c>
    </row>
    <row r="27" spans="1:30" ht="15" customHeight="1">
      <c r="A27" s="1641"/>
      <c r="B27" s="165">
        <v>1.702</v>
      </c>
      <c r="C27" s="315" t="s">
        <v>174</v>
      </c>
      <c r="D27" s="6">
        <v>151716.6</v>
      </c>
      <c r="E27" s="316" t="s">
        <v>354</v>
      </c>
      <c r="F27" s="164">
        <f t="shared" ref="F27" si="11">ROUND(B27*D27,0)</f>
        <v>258222</v>
      </c>
      <c r="G27" s="165">
        <v>1.702</v>
      </c>
      <c r="H27" s="315" t="s">
        <v>174</v>
      </c>
      <c r="I27" s="6">
        <v>179542</v>
      </c>
      <c r="J27" s="316" t="s">
        <v>354</v>
      </c>
      <c r="K27" s="164">
        <f t="shared" si="7"/>
        <v>305580</v>
      </c>
      <c r="L27" s="819"/>
      <c r="M27" s="318"/>
      <c r="N27" s="13"/>
      <c r="O27" s="317"/>
      <c r="P27" s="164"/>
      <c r="Q27" s="819"/>
      <c r="R27" s="318"/>
      <c r="S27" s="13"/>
      <c r="T27" s="317"/>
      <c r="U27" s="166"/>
      <c r="V27" s="819"/>
      <c r="W27" s="318"/>
      <c r="X27" s="13"/>
      <c r="Y27" s="317"/>
      <c r="Z27" s="166"/>
      <c r="AA27" s="720"/>
      <c r="AB27" s="720"/>
    </row>
    <row r="28" spans="1:30" s="167" customFormat="1" ht="15" customHeight="1">
      <c r="A28" s="16" t="s">
        <v>121</v>
      </c>
      <c r="B28" s="169">
        <f>IF(D28&gt;0,F28/D28,0)</f>
        <v>1.3044835591965835</v>
      </c>
      <c r="C28" s="319" t="s">
        <v>174</v>
      </c>
      <c r="D28" s="170">
        <f>SUM(D24:D27)</f>
        <v>349791.30000000005</v>
      </c>
      <c r="E28" s="320" t="s">
        <v>355</v>
      </c>
      <c r="F28" s="261">
        <f>SUM(F24:F27)</f>
        <v>456297</v>
      </c>
      <c r="G28" s="169">
        <f>IF(I28&gt;0,K28/I28,0)</f>
        <v>1.3954148018327275</v>
      </c>
      <c r="H28" s="319" t="s">
        <v>174</v>
      </c>
      <c r="I28" s="170">
        <f>SUM(I24:I27)</f>
        <v>414246</v>
      </c>
      <c r="J28" s="320" t="s">
        <v>355</v>
      </c>
      <c r="K28" s="261">
        <f>SUM(K24:K27)</f>
        <v>578045</v>
      </c>
      <c r="L28" s="818">
        <f>IF(N28&gt;0,P28/N28,0)</f>
        <v>1.6281179079245824</v>
      </c>
      <c r="M28" s="319" t="s">
        <v>174</v>
      </c>
      <c r="N28" s="170">
        <f>SUM(N24:N27)</f>
        <v>419919.83299999998</v>
      </c>
      <c r="O28" s="320" t="s">
        <v>355</v>
      </c>
      <c r="P28" s="261">
        <f>SUM(P24:P27)</f>
        <v>683679</v>
      </c>
      <c r="Q28" s="818">
        <f>IF(S28&gt;0,U28/S28,0)</f>
        <v>1.6192681477669078</v>
      </c>
      <c r="R28" s="319" t="s">
        <v>174</v>
      </c>
      <c r="S28" s="170">
        <f>SUM(S24:S27)</f>
        <v>451050.13699999999</v>
      </c>
      <c r="T28" s="320" t="s">
        <v>355</v>
      </c>
      <c r="U28" s="260">
        <f>SUM(U24:U27)</f>
        <v>730371.11988999997</v>
      </c>
      <c r="V28" s="818">
        <f>IF(X28&gt;0,Z28/X28,0)</f>
        <v>2.5602347150193236</v>
      </c>
      <c r="W28" s="319" t="s">
        <v>174</v>
      </c>
      <c r="X28" s="170">
        <f>SUM(X24:X27)</f>
        <v>451652.38699999999</v>
      </c>
      <c r="Y28" s="320" t="s">
        <v>355</v>
      </c>
      <c r="Z28" s="260">
        <f>SUM(Z24:Z27)</f>
        <v>1156336.1203187422</v>
      </c>
      <c r="AA28" s="1439">
        <f>(S28-N28)/N28</f>
        <v>7.413392165261222E-2</v>
      </c>
      <c r="AB28" s="1484">
        <f>(X28-S28)/S28</f>
        <v>1.3352174195215907E-3</v>
      </c>
      <c r="AC28" s="495" t="s">
        <v>788</v>
      </c>
    </row>
    <row r="29" spans="1:30" s="176" customFormat="1" ht="15" customHeight="1">
      <c r="A29" s="147"/>
      <c r="B29" s="1636" t="s">
        <v>315</v>
      </c>
      <c r="C29" s="1637"/>
      <c r="D29" s="257" t="s">
        <v>349</v>
      </c>
      <c r="E29" s="256"/>
      <c r="F29" s="174">
        <v>456297</v>
      </c>
      <c r="G29" s="1636" t="s">
        <v>315</v>
      </c>
      <c r="H29" s="1637"/>
      <c r="I29" s="257" t="s">
        <v>349</v>
      </c>
      <c r="J29" s="256"/>
      <c r="K29" s="174">
        <v>578045</v>
      </c>
      <c r="L29" s="1636" t="s">
        <v>315</v>
      </c>
      <c r="M29" s="1637"/>
      <c r="N29" s="257" t="s">
        <v>349</v>
      </c>
      <c r="O29" s="256"/>
      <c r="P29" s="174">
        <v>690232</v>
      </c>
      <c r="Q29" s="175"/>
      <c r="R29" s="172"/>
      <c r="S29" s="172"/>
      <c r="T29" s="173"/>
      <c r="U29" s="174"/>
      <c r="V29" s="175"/>
      <c r="W29" s="172"/>
      <c r="X29" s="172"/>
      <c r="Y29" s="173"/>
      <c r="Z29" s="174"/>
      <c r="AA29" s="1440"/>
      <c r="AB29" s="1440"/>
    </row>
    <row r="30" spans="1:30" s="176" customFormat="1" ht="15" customHeight="1" thickBot="1">
      <c r="A30" s="538"/>
      <c r="B30" s="539"/>
      <c r="C30" s="540" t="s">
        <v>316</v>
      </c>
      <c r="D30" s="541" t="s">
        <v>349</v>
      </c>
      <c r="E30" s="542"/>
      <c r="F30" s="543">
        <f>F28-F29</f>
        <v>0</v>
      </c>
      <c r="G30" s="539"/>
      <c r="H30" s="540" t="s">
        <v>316</v>
      </c>
      <c r="I30" s="541" t="s">
        <v>349</v>
      </c>
      <c r="J30" s="542"/>
      <c r="K30" s="543">
        <f>K28-K29</f>
        <v>0</v>
      </c>
      <c r="L30" s="539"/>
      <c r="M30" s="540" t="s">
        <v>316</v>
      </c>
      <c r="N30" s="541" t="s">
        <v>349</v>
      </c>
      <c r="O30" s="542"/>
      <c r="P30" s="543">
        <f>P28-P29</f>
        <v>-6553</v>
      </c>
      <c r="Q30" s="539"/>
      <c r="R30" s="544"/>
      <c r="S30" s="545"/>
      <c r="T30" s="540"/>
      <c r="U30" s="543"/>
      <c r="V30" s="539"/>
      <c r="W30" s="544"/>
      <c r="X30" s="545"/>
      <c r="Y30" s="540"/>
      <c r="Z30" s="543"/>
      <c r="AA30" s="1440"/>
      <c r="AB30" s="1440"/>
    </row>
    <row r="31" spans="1:30" ht="15" customHeight="1" thickTop="1">
      <c r="A31" s="1642" t="s">
        <v>786</v>
      </c>
      <c r="B31" s="1643"/>
      <c r="C31" s="802"/>
      <c r="D31" s="802"/>
      <c r="E31" s="802"/>
      <c r="F31" s="803"/>
      <c r="G31" s="801"/>
      <c r="H31" s="802"/>
      <c r="I31" s="802"/>
      <c r="J31" s="802"/>
      <c r="K31" s="803"/>
      <c r="L31" s="801"/>
      <c r="M31" s="802"/>
      <c r="N31" s="802"/>
      <c r="O31" s="802"/>
      <c r="P31" s="803"/>
      <c r="Q31" s="801"/>
      <c r="R31" s="802"/>
      <c r="S31" s="802"/>
      <c r="T31" s="802"/>
      <c r="U31" s="803"/>
      <c r="V31" s="801"/>
      <c r="W31" s="802"/>
      <c r="X31" s="802"/>
      <c r="Y31" s="802"/>
      <c r="Z31" s="803"/>
      <c r="AA31" s="720"/>
      <c r="AB31" s="720"/>
    </row>
    <row r="32" spans="1:30" ht="15" customHeight="1">
      <c r="A32" s="1638" t="s">
        <v>317</v>
      </c>
      <c r="B32" s="168"/>
      <c r="C32" s="318"/>
      <c r="D32" s="13"/>
      <c r="E32" s="317"/>
      <c r="F32" s="164"/>
      <c r="G32" s="165">
        <v>2.06</v>
      </c>
      <c r="H32" s="315" t="s">
        <v>174</v>
      </c>
      <c r="I32" s="6">
        <v>25675</v>
      </c>
      <c r="J32" s="316" t="s">
        <v>354</v>
      </c>
      <c r="K32" s="164">
        <f t="shared" ref="K32:K35" si="12">ROUND(G32*I32,0)</f>
        <v>52891</v>
      </c>
      <c r="L32" s="817">
        <v>2.06</v>
      </c>
      <c r="M32" s="315" t="s">
        <v>174</v>
      </c>
      <c r="N32" s="6">
        <v>183653.97500000001</v>
      </c>
      <c r="O32" s="316" t="s">
        <v>354</v>
      </c>
      <c r="P32" s="164">
        <f t="shared" ref="P32:P34" si="13">ROUND(L32*N32,0)</f>
        <v>378327</v>
      </c>
      <c r="Q32" s="817">
        <v>2.06</v>
      </c>
      <c r="R32" s="315" t="s">
        <v>174</v>
      </c>
      <c r="S32" s="6">
        <v>207775</v>
      </c>
      <c r="T32" s="316" t="s">
        <v>354</v>
      </c>
      <c r="U32" s="166">
        <f>Q32*S32</f>
        <v>428016.5</v>
      </c>
      <c r="V32" s="819">
        <f>TAOTLUS!G30</f>
        <v>3.9080477563324822</v>
      </c>
      <c r="W32" s="315" t="s">
        <v>174</v>
      </c>
      <c r="X32" s="6">
        <f>S32+5*3*(110/1000*365)</f>
        <v>208377.25</v>
      </c>
      <c r="Y32" s="316" t="s">
        <v>354</v>
      </c>
      <c r="Z32" s="166">
        <f>V32*X32</f>
        <v>814348.24433323275</v>
      </c>
      <c r="AA32" s="274">
        <f>(S32-N32)/N32</f>
        <v>0.13133952042148825</v>
      </c>
      <c r="AB32" s="274">
        <f>(X32-S32)/S32</f>
        <v>2.8985681626759715E-3</v>
      </c>
      <c r="AC32" s="1199" t="s">
        <v>354</v>
      </c>
    </row>
    <row r="33" spans="1:30" ht="15" customHeight="1">
      <c r="A33" s="1639"/>
      <c r="B33" s="165">
        <v>1.6930000000000001</v>
      </c>
      <c r="C33" s="315" t="s">
        <v>174</v>
      </c>
      <c r="D33" s="6">
        <v>161017.12899999999</v>
      </c>
      <c r="E33" s="316" t="s">
        <v>354</v>
      </c>
      <c r="F33" s="164">
        <f t="shared" ref="F33" si="14">ROUND(B33*D33,0)</f>
        <v>272602</v>
      </c>
      <c r="G33" s="165">
        <v>1.6930000000000001</v>
      </c>
      <c r="H33" s="315" t="s">
        <v>174</v>
      </c>
      <c r="I33" s="6">
        <v>139593</v>
      </c>
      <c r="J33" s="316" t="s">
        <v>354</v>
      </c>
      <c r="K33" s="164">
        <f t="shared" si="12"/>
        <v>236331</v>
      </c>
      <c r="L33" s="819"/>
      <c r="M33" s="318"/>
      <c r="N33" s="13"/>
      <c r="O33" s="317"/>
      <c r="P33" s="164"/>
      <c r="Q33" s="819"/>
      <c r="R33" s="318"/>
      <c r="S33" s="13"/>
      <c r="T33" s="317"/>
      <c r="U33" s="166"/>
      <c r="V33" s="819"/>
      <c r="W33" s="318"/>
      <c r="X33" s="13"/>
      <c r="Y33" s="317"/>
      <c r="Z33" s="166"/>
      <c r="AA33" s="720"/>
      <c r="AB33" s="720"/>
    </row>
    <row r="34" spans="1:30" ht="15" customHeight="1">
      <c r="A34" s="1640" t="s">
        <v>318</v>
      </c>
      <c r="B34" s="168"/>
      <c r="C34" s="318"/>
      <c r="D34" s="13"/>
      <c r="E34" s="317"/>
      <c r="F34" s="164"/>
      <c r="G34" s="165">
        <v>2.65</v>
      </c>
      <c r="H34" s="315" t="s">
        <v>174</v>
      </c>
      <c r="I34" s="6">
        <v>20255</v>
      </c>
      <c r="J34" s="316" t="s">
        <v>354</v>
      </c>
      <c r="K34" s="164">
        <f t="shared" si="12"/>
        <v>53676</v>
      </c>
      <c r="L34" s="817">
        <v>2.65</v>
      </c>
      <c r="M34" s="315" t="s">
        <v>174</v>
      </c>
      <c r="N34" s="6">
        <v>136508.361</v>
      </c>
      <c r="O34" s="316" t="s">
        <v>354</v>
      </c>
      <c r="P34" s="164">
        <f t="shared" si="13"/>
        <v>361747</v>
      </c>
      <c r="Q34" s="817">
        <v>2.65</v>
      </c>
      <c r="R34" s="315" t="s">
        <v>174</v>
      </c>
      <c r="S34" s="6">
        <f>78480+56886</f>
        <v>135366</v>
      </c>
      <c r="T34" s="316" t="s">
        <v>354</v>
      </c>
      <c r="U34" s="166">
        <f>Q34*S34</f>
        <v>358719.89999999997</v>
      </c>
      <c r="V34" s="819">
        <f>TAOTLUS!G31</f>
        <v>4.4507144229991491</v>
      </c>
      <c r="W34" s="315" t="s">
        <v>174</v>
      </c>
      <c r="X34" s="6">
        <f>S34</f>
        <v>135366</v>
      </c>
      <c r="Y34" s="316" t="s">
        <v>354</v>
      </c>
      <c r="Z34" s="166">
        <f>V34*X34</f>
        <v>602475.40858370287</v>
      </c>
      <c r="AA34" s="274">
        <f>(S34-N34)/N34</f>
        <v>-8.3684324654663775E-3</v>
      </c>
      <c r="AB34" s="274">
        <f>(X34-S34)/S34</f>
        <v>0</v>
      </c>
      <c r="AC34" s="1199" t="s">
        <v>354</v>
      </c>
    </row>
    <row r="35" spans="1:30" ht="15" customHeight="1">
      <c r="A35" s="1641"/>
      <c r="B35" s="165">
        <v>2.3340000000000001</v>
      </c>
      <c r="C35" s="315" t="s">
        <v>174</v>
      </c>
      <c r="D35" s="6">
        <v>177612.45929</v>
      </c>
      <c r="E35" s="316" t="s">
        <v>354</v>
      </c>
      <c r="F35" s="164">
        <f t="shared" ref="F35" si="15">ROUND(B35*D35,0)</f>
        <v>414547</v>
      </c>
      <c r="G35" s="165">
        <v>2.3340000000000001</v>
      </c>
      <c r="H35" s="315" t="s">
        <v>174</v>
      </c>
      <c r="I35" s="6">
        <v>124719</v>
      </c>
      <c r="J35" s="316" t="s">
        <v>354</v>
      </c>
      <c r="K35" s="164">
        <f t="shared" si="12"/>
        <v>291094</v>
      </c>
      <c r="L35" s="819"/>
      <c r="M35" s="318"/>
      <c r="N35" s="13"/>
      <c r="O35" s="317"/>
      <c r="P35" s="164"/>
      <c r="Q35" s="819"/>
      <c r="R35" s="318"/>
      <c r="S35" s="13"/>
      <c r="T35" s="317"/>
      <c r="U35" s="166"/>
      <c r="V35" s="819"/>
      <c r="W35" s="318"/>
      <c r="X35" s="13"/>
      <c r="Y35" s="317"/>
      <c r="Z35" s="166"/>
      <c r="AA35" s="720"/>
      <c r="AB35" s="720"/>
      <c r="AD35" s="293"/>
    </row>
    <row r="36" spans="1:30" ht="15" customHeight="1">
      <c r="A36" s="16" t="s">
        <v>121</v>
      </c>
      <c r="B36" s="169">
        <f>IF(D36&gt;0,F36/D36,0)</f>
        <v>2.0292054320177435</v>
      </c>
      <c r="C36" s="319" t="s">
        <v>174</v>
      </c>
      <c r="D36" s="170">
        <f>SUM(D32:D35)</f>
        <v>338629.58828999999</v>
      </c>
      <c r="E36" s="320" t="s">
        <v>355</v>
      </c>
      <c r="F36" s="261">
        <f>SUM(F32:F35)</f>
        <v>687149</v>
      </c>
      <c r="G36" s="169">
        <f>IF(I36&gt;0,K36/I36,0)</f>
        <v>2.0435402040987358</v>
      </c>
      <c r="H36" s="319" t="s">
        <v>174</v>
      </c>
      <c r="I36" s="170">
        <f>SUM(I32:I35)</f>
        <v>310242</v>
      </c>
      <c r="J36" s="320" t="s">
        <v>355</v>
      </c>
      <c r="K36" s="261">
        <f>SUM(K32:K35)</f>
        <v>633992</v>
      </c>
      <c r="L36" s="818">
        <f>IF(N36&gt;0,P36/N36,0)</f>
        <v>2.3115585963240846</v>
      </c>
      <c r="M36" s="319" t="s">
        <v>174</v>
      </c>
      <c r="N36" s="170">
        <f>SUM(N32:N35)</f>
        <v>320162.33600000001</v>
      </c>
      <c r="O36" s="320" t="s">
        <v>355</v>
      </c>
      <c r="P36" s="261">
        <f>SUM(P32:P35)</f>
        <v>740074</v>
      </c>
      <c r="Q36" s="818">
        <f>IF(S36&gt;0,U36/S36,0)</f>
        <v>2.2927496277040631</v>
      </c>
      <c r="R36" s="319" t="s">
        <v>174</v>
      </c>
      <c r="S36" s="312">
        <f>SUM(S32:S35)</f>
        <v>343141</v>
      </c>
      <c r="T36" s="320" t="s">
        <v>355</v>
      </c>
      <c r="U36" s="260">
        <f>SUM(U32:U35)</f>
        <v>786736.39999999991</v>
      </c>
      <c r="V36" s="818">
        <f>IF(X36&gt;0,Z36/X36,0)</f>
        <v>4.1217497446624352</v>
      </c>
      <c r="W36" s="319" t="s">
        <v>174</v>
      </c>
      <c r="X36" s="312">
        <f>SUM(X32:X35)</f>
        <v>343743.25</v>
      </c>
      <c r="Y36" s="320" t="s">
        <v>355</v>
      </c>
      <c r="Z36" s="260">
        <f>SUM(Z32:Z35)</f>
        <v>1416823.6529169357</v>
      </c>
      <c r="AA36" s="1439">
        <f>(S36-N36)/N36</f>
        <v>7.1771915107465944E-2</v>
      </c>
      <c r="AB36" s="1484">
        <f>(X36-S36)/S36</f>
        <v>1.7551094156629491E-3</v>
      </c>
      <c r="AC36" s="495" t="s">
        <v>788</v>
      </c>
      <c r="AD36" s="176"/>
    </row>
    <row r="37" spans="1:30" ht="15" customHeight="1">
      <c r="A37" s="147"/>
      <c r="B37" s="1636" t="s">
        <v>315</v>
      </c>
      <c r="C37" s="1637"/>
      <c r="D37" s="257" t="s">
        <v>349</v>
      </c>
      <c r="E37" s="256"/>
      <c r="F37" s="174">
        <v>687149</v>
      </c>
      <c r="G37" s="1636" t="s">
        <v>315</v>
      </c>
      <c r="H37" s="1637"/>
      <c r="I37" s="257" t="s">
        <v>349</v>
      </c>
      <c r="J37" s="256"/>
      <c r="K37" s="174">
        <v>633992</v>
      </c>
      <c r="L37" s="1636" t="s">
        <v>315</v>
      </c>
      <c r="M37" s="1637"/>
      <c r="N37" s="257" t="s">
        <v>349</v>
      </c>
      <c r="O37" s="256"/>
      <c r="P37" s="174">
        <f>788384-51528</f>
        <v>736856</v>
      </c>
      <c r="Q37" s="171"/>
      <c r="R37" s="172"/>
      <c r="S37" s="172"/>
      <c r="T37" s="173"/>
      <c r="U37" s="174"/>
      <c r="V37" s="171"/>
      <c r="W37" s="172"/>
      <c r="X37" s="172"/>
      <c r="Y37" s="173"/>
      <c r="Z37" s="174"/>
      <c r="AA37" s="277"/>
    </row>
    <row r="38" spans="1:30" s="277" customFormat="1" ht="15" customHeight="1" thickBot="1">
      <c r="A38" s="276"/>
      <c r="B38" s="175"/>
      <c r="C38" s="173" t="s">
        <v>316</v>
      </c>
      <c r="D38" s="257" t="s">
        <v>349</v>
      </c>
      <c r="E38" s="258"/>
      <c r="F38" s="174">
        <f>F36-F37</f>
        <v>0</v>
      </c>
      <c r="G38" s="175"/>
      <c r="H38" s="173" t="s">
        <v>316</v>
      </c>
      <c r="I38" s="257" t="s">
        <v>349</v>
      </c>
      <c r="J38" s="258"/>
      <c r="K38" s="174">
        <f>K36-K37</f>
        <v>0</v>
      </c>
      <c r="L38" s="175"/>
      <c r="M38" s="173" t="s">
        <v>316</v>
      </c>
      <c r="N38" s="257" t="s">
        <v>349</v>
      </c>
      <c r="O38" s="258"/>
      <c r="P38" s="174">
        <f>P36-P37</f>
        <v>3218</v>
      </c>
      <c r="Q38" s="171"/>
      <c r="R38" s="172"/>
      <c r="S38" s="291"/>
      <c r="T38" s="173"/>
      <c r="U38" s="174"/>
      <c r="V38" s="171"/>
      <c r="W38" s="172"/>
      <c r="X38" s="291"/>
      <c r="Y38" s="173"/>
      <c r="Z38" s="174"/>
      <c r="AA38" s="313"/>
      <c r="AC38" s="313"/>
    </row>
    <row r="39" spans="1:30" ht="30" customHeight="1" thickBot="1">
      <c r="A39" s="534" t="s">
        <v>894</v>
      </c>
      <c r="B39" s="535"/>
      <c r="C39" s="536"/>
      <c r="D39" s="536"/>
      <c r="E39" s="536"/>
      <c r="F39" s="537">
        <f>F28+F36</f>
        <v>1143446</v>
      </c>
      <c r="G39" s="535"/>
      <c r="H39" s="536"/>
      <c r="I39" s="536"/>
      <c r="J39" s="536"/>
      <c r="K39" s="537">
        <f>K28+K36</f>
        <v>1212037</v>
      </c>
      <c r="L39" s="535"/>
      <c r="M39" s="536"/>
      <c r="N39" s="536"/>
      <c r="O39" s="536"/>
      <c r="P39" s="537">
        <f>P28+P36</f>
        <v>1423753</v>
      </c>
      <c r="Q39" s="535"/>
      <c r="R39" s="536"/>
      <c r="S39" s="536"/>
      <c r="T39" s="536"/>
      <c r="U39" s="537">
        <f>U28+U36</f>
        <v>1517107.5198899999</v>
      </c>
      <c r="V39" s="535"/>
      <c r="W39" s="536"/>
      <c r="X39" s="536"/>
      <c r="Y39" s="536"/>
      <c r="Z39" s="537">
        <f>Z28+Z36</f>
        <v>2573159.7732356777</v>
      </c>
      <c r="AA39" s="274"/>
      <c r="AD39" s="293"/>
    </row>
    <row r="40" spans="1:30" ht="15" customHeight="1" thickBot="1"/>
    <row r="41" spans="1:30" ht="30" customHeight="1" thickBot="1">
      <c r="A41" s="1448" t="s">
        <v>572</v>
      </c>
      <c r="B41" s="808" t="s">
        <v>124</v>
      </c>
      <c r="C41" s="809" t="s">
        <v>125</v>
      </c>
      <c r="D41" s="809" t="s">
        <v>126</v>
      </c>
      <c r="E41" s="809" t="s">
        <v>125</v>
      </c>
      <c r="F41" s="810" t="s">
        <v>999</v>
      </c>
      <c r="G41" s="808" t="s">
        <v>124</v>
      </c>
      <c r="H41" s="809" t="s">
        <v>125</v>
      </c>
      <c r="I41" s="809" t="s">
        <v>126</v>
      </c>
      <c r="J41" s="809" t="s">
        <v>125</v>
      </c>
      <c r="K41" s="810" t="s">
        <v>999</v>
      </c>
      <c r="L41" s="808" t="s">
        <v>124</v>
      </c>
      <c r="M41" s="809" t="s">
        <v>125</v>
      </c>
      <c r="N41" s="809" t="s">
        <v>126</v>
      </c>
      <c r="O41" s="809" t="s">
        <v>125</v>
      </c>
      <c r="P41" s="810" t="s">
        <v>999</v>
      </c>
      <c r="Q41" s="808" t="s">
        <v>124</v>
      </c>
      <c r="R41" s="809" t="s">
        <v>125</v>
      </c>
      <c r="S41" s="809" t="s">
        <v>126</v>
      </c>
      <c r="T41" s="809" t="s">
        <v>125</v>
      </c>
      <c r="U41" s="810" t="s">
        <v>999</v>
      </c>
      <c r="V41" s="808" t="s">
        <v>124</v>
      </c>
      <c r="W41" s="809" t="s">
        <v>125</v>
      </c>
      <c r="X41" s="809" t="s">
        <v>126</v>
      </c>
      <c r="Y41" s="809" t="s">
        <v>125</v>
      </c>
      <c r="Z41" s="810" t="s">
        <v>999</v>
      </c>
    </row>
    <row r="42" spans="1:30" ht="15" customHeight="1">
      <c r="A42" s="797" t="s">
        <v>386</v>
      </c>
      <c r="B42" s="504"/>
      <c r="C42" s="316" t="s">
        <v>174</v>
      </c>
      <c r="D42" s="798"/>
      <c r="E42" s="316" t="s">
        <v>356</v>
      </c>
      <c r="F42" s="799">
        <f>B42*D42</f>
        <v>0</v>
      </c>
      <c r="G42" s="504"/>
      <c r="H42" s="316" t="s">
        <v>174</v>
      </c>
      <c r="I42" s="798"/>
      <c r="J42" s="316" t="s">
        <v>356</v>
      </c>
      <c r="K42" s="799">
        <f>G42*I42</f>
        <v>0</v>
      </c>
      <c r="L42" s="820"/>
      <c r="M42" s="316" t="s">
        <v>174</v>
      </c>
      <c r="N42" s="798"/>
      <c r="O42" s="316" t="s">
        <v>356</v>
      </c>
      <c r="P42" s="799">
        <f>L42*N42</f>
        <v>0</v>
      </c>
      <c r="Q42" s="823"/>
      <c r="R42" s="316" t="s">
        <v>174</v>
      </c>
      <c r="S42" s="798"/>
      <c r="T42" s="316" t="s">
        <v>356</v>
      </c>
      <c r="U42" s="799">
        <f>Q42*S42</f>
        <v>0</v>
      </c>
      <c r="V42" s="823"/>
      <c r="W42" s="316" t="s">
        <v>174</v>
      </c>
      <c r="X42" s="798"/>
      <c r="Y42" s="316" t="s">
        <v>356</v>
      </c>
      <c r="Z42" s="799">
        <f>V42*X42</f>
        <v>0</v>
      </c>
    </row>
    <row r="43" spans="1:30" ht="15" customHeight="1">
      <c r="A43" s="262" t="s">
        <v>387</v>
      </c>
      <c r="B43" s="165"/>
      <c r="C43" s="315" t="s">
        <v>174</v>
      </c>
      <c r="D43" s="6"/>
      <c r="E43" s="316" t="s">
        <v>356</v>
      </c>
      <c r="F43" s="166">
        <f t="shared" ref="F43:F49" si="16">B43*D43</f>
        <v>0</v>
      </c>
      <c r="G43" s="165"/>
      <c r="H43" s="315" t="s">
        <v>174</v>
      </c>
      <c r="I43" s="6"/>
      <c r="J43" s="316" t="s">
        <v>356</v>
      </c>
      <c r="K43" s="166">
        <f t="shared" ref="K43:K49" si="17">G43*I43</f>
        <v>0</v>
      </c>
      <c r="L43" s="817"/>
      <c r="M43" s="315" t="s">
        <v>174</v>
      </c>
      <c r="N43" s="6"/>
      <c r="O43" s="316" t="s">
        <v>356</v>
      </c>
      <c r="P43" s="166">
        <f t="shared" ref="P43:P49" si="18">L43*N43</f>
        <v>0</v>
      </c>
      <c r="Q43" s="824"/>
      <c r="R43" s="315" t="s">
        <v>174</v>
      </c>
      <c r="S43" s="6"/>
      <c r="T43" s="316" t="s">
        <v>356</v>
      </c>
      <c r="U43" s="166">
        <f t="shared" ref="U43:U49" si="19">Q43*S43</f>
        <v>0</v>
      </c>
      <c r="V43" s="824"/>
      <c r="W43" s="315" t="s">
        <v>174</v>
      </c>
      <c r="X43" s="6"/>
      <c r="Y43" s="316" t="s">
        <v>356</v>
      </c>
      <c r="Z43" s="166">
        <f t="shared" ref="Z43:Z49" si="20">V43*X43</f>
        <v>0</v>
      </c>
    </row>
    <row r="44" spans="1:30" ht="15" customHeight="1">
      <c r="A44" s="262" t="s">
        <v>388</v>
      </c>
      <c r="B44" s="165"/>
      <c r="C44" s="315" t="s">
        <v>174</v>
      </c>
      <c r="D44" s="6"/>
      <c r="E44" s="316" t="s">
        <v>356</v>
      </c>
      <c r="F44" s="166">
        <f t="shared" si="16"/>
        <v>0</v>
      </c>
      <c r="G44" s="165"/>
      <c r="H44" s="315" t="s">
        <v>174</v>
      </c>
      <c r="I44" s="6"/>
      <c r="J44" s="316" t="s">
        <v>356</v>
      </c>
      <c r="K44" s="166">
        <f t="shared" si="17"/>
        <v>0</v>
      </c>
      <c r="L44" s="817"/>
      <c r="M44" s="315" t="s">
        <v>174</v>
      </c>
      <c r="N44" s="6"/>
      <c r="O44" s="316" t="s">
        <v>356</v>
      </c>
      <c r="P44" s="166">
        <f t="shared" si="18"/>
        <v>0</v>
      </c>
      <c r="Q44" s="824"/>
      <c r="R44" s="315" t="s">
        <v>174</v>
      </c>
      <c r="S44" s="6"/>
      <c r="T44" s="316" t="s">
        <v>356</v>
      </c>
      <c r="U44" s="166">
        <f t="shared" si="19"/>
        <v>0</v>
      </c>
      <c r="V44" s="824"/>
      <c r="W44" s="315" t="s">
        <v>174</v>
      </c>
      <c r="X44" s="6"/>
      <c r="Y44" s="316" t="s">
        <v>356</v>
      </c>
      <c r="Z44" s="166">
        <f t="shared" si="20"/>
        <v>0</v>
      </c>
    </row>
    <row r="45" spans="1:30" ht="15" customHeight="1">
      <c r="A45" s="262" t="s">
        <v>389</v>
      </c>
      <c r="B45" s="165">
        <v>0.25</v>
      </c>
      <c r="C45" s="315" t="s">
        <v>174</v>
      </c>
      <c r="D45" s="6">
        <v>0</v>
      </c>
      <c r="E45" s="316" t="s">
        <v>356</v>
      </c>
      <c r="F45" s="166">
        <f t="shared" si="16"/>
        <v>0</v>
      </c>
      <c r="G45" s="165">
        <v>0.25</v>
      </c>
      <c r="H45" s="315" t="s">
        <v>174</v>
      </c>
      <c r="I45" s="6">
        <v>4361.8</v>
      </c>
      <c r="J45" s="316" t="s">
        <v>356</v>
      </c>
      <c r="K45" s="166">
        <f t="shared" si="17"/>
        <v>1090.45</v>
      </c>
      <c r="L45" s="817">
        <v>0.25</v>
      </c>
      <c r="M45" s="315" t="s">
        <v>174</v>
      </c>
      <c r="N45" s="6">
        <v>8605</v>
      </c>
      <c r="O45" s="316" t="s">
        <v>356</v>
      </c>
      <c r="P45" s="166">
        <f t="shared" si="18"/>
        <v>2151.25</v>
      </c>
      <c r="Q45" s="824">
        <f>L45</f>
        <v>0.25</v>
      </c>
      <c r="R45" s="315" t="s">
        <v>174</v>
      </c>
      <c r="S45" s="6">
        <v>8500</v>
      </c>
      <c r="T45" s="316" t="s">
        <v>356</v>
      </c>
      <c r="U45" s="166">
        <f t="shared" si="19"/>
        <v>2125</v>
      </c>
      <c r="V45" s="824">
        <f>Q45</f>
        <v>0.25</v>
      </c>
      <c r="W45" s="315" t="s">
        <v>174</v>
      </c>
      <c r="X45" s="6">
        <f>S45</f>
        <v>8500</v>
      </c>
      <c r="Y45" s="316" t="s">
        <v>356</v>
      </c>
      <c r="Z45" s="166">
        <f t="shared" si="20"/>
        <v>2125</v>
      </c>
    </row>
    <row r="46" spans="1:30" ht="15" customHeight="1">
      <c r="A46" s="262" t="s">
        <v>390</v>
      </c>
      <c r="B46" s="165">
        <v>0.33</v>
      </c>
      <c r="C46" s="315" t="s">
        <v>174</v>
      </c>
      <c r="D46" s="6">
        <v>18869.509999999998</v>
      </c>
      <c r="E46" s="316" t="s">
        <v>356</v>
      </c>
      <c r="F46" s="166">
        <f t="shared" si="16"/>
        <v>6226.9382999999998</v>
      </c>
      <c r="G46" s="165">
        <v>0.33</v>
      </c>
      <c r="H46" s="315" t="s">
        <v>174</v>
      </c>
      <c r="I46" s="6">
        <v>11295</v>
      </c>
      <c r="J46" s="316" t="s">
        <v>356</v>
      </c>
      <c r="K46" s="166">
        <f t="shared" si="17"/>
        <v>3727.3500000000004</v>
      </c>
      <c r="L46" s="817">
        <v>0.33</v>
      </c>
      <c r="M46" s="315" t="s">
        <v>174</v>
      </c>
      <c r="N46" s="6">
        <v>12952</v>
      </c>
      <c r="O46" s="316" t="s">
        <v>356</v>
      </c>
      <c r="P46" s="166">
        <f t="shared" si="18"/>
        <v>4274.16</v>
      </c>
      <c r="Q46" s="824">
        <f>L46</f>
        <v>0.33</v>
      </c>
      <c r="R46" s="315" t="s">
        <v>174</v>
      </c>
      <c r="S46" s="6">
        <v>10000</v>
      </c>
      <c r="T46" s="316" t="s">
        <v>356</v>
      </c>
      <c r="U46" s="166">
        <f t="shared" si="19"/>
        <v>3300</v>
      </c>
      <c r="V46" s="824">
        <f>Q46</f>
        <v>0.33</v>
      </c>
      <c r="W46" s="315" t="s">
        <v>174</v>
      </c>
      <c r="X46" s="6">
        <f t="shared" ref="X46:X49" si="21">S46</f>
        <v>10000</v>
      </c>
      <c r="Y46" s="316" t="s">
        <v>356</v>
      </c>
      <c r="Z46" s="166">
        <f t="shared" si="20"/>
        <v>3300</v>
      </c>
    </row>
    <row r="47" spans="1:30" ht="15" customHeight="1">
      <c r="A47" s="262" t="s">
        <v>391</v>
      </c>
      <c r="B47" s="165">
        <v>0.56999999999999995</v>
      </c>
      <c r="C47" s="315" t="s">
        <v>174</v>
      </c>
      <c r="D47" s="6">
        <v>3136.35</v>
      </c>
      <c r="E47" s="316" t="s">
        <v>356</v>
      </c>
      <c r="F47" s="166">
        <f t="shared" si="16"/>
        <v>1787.7194999999997</v>
      </c>
      <c r="G47" s="165">
        <v>0.56999999999999995</v>
      </c>
      <c r="H47" s="315" t="s">
        <v>174</v>
      </c>
      <c r="I47" s="6">
        <v>5386</v>
      </c>
      <c r="J47" s="316" t="s">
        <v>356</v>
      </c>
      <c r="K47" s="166">
        <f t="shared" si="17"/>
        <v>3070.0199999999995</v>
      </c>
      <c r="L47" s="817">
        <v>0.56999999999999995</v>
      </c>
      <c r="M47" s="315" t="s">
        <v>174</v>
      </c>
      <c r="N47" s="6">
        <v>4760.37</v>
      </c>
      <c r="O47" s="316" t="s">
        <v>356</v>
      </c>
      <c r="P47" s="166">
        <f t="shared" si="18"/>
        <v>2713.4108999999999</v>
      </c>
      <c r="Q47" s="824">
        <f>L47</f>
        <v>0.56999999999999995</v>
      </c>
      <c r="R47" s="315" t="s">
        <v>174</v>
      </c>
      <c r="S47" s="6">
        <v>4500</v>
      </c>
      <c r="T47" s="316" t="s">
        <v>356</v>
      </c>
      <c r="U47" s="166">
        <f t="shared" si="19"/>
        <v>2565</v>
      </c>
      <c r="V47" s="824">
        <f>Q47</f>
        <v>0.56999999999999995</v>
      </c>
      <c r="W47" s="315" t="s">
        <v>174</v>
      </c>
      <c r="X47" s="6">
        <f t="shared" si="21"/>
        <v>4500</v>
      </c>
      <c r="Y47" s="316" t="s">
        <v>356</v>
      </c>
      <c r="Z47" s="166">
        <f t="shared" si="20"/>
        <v>2565</v>
      </c>
    </row>
    <row r="48" spans="1:30" ht="15" customHeight="1">
      <c r="A48" s="262" t="s">
        <v>392</v>
      </c>
      <c r="B48" s="165">
        <v>0.98</v>
      </c>
      <c r="C48" s="315" t="s">
        <v>174</v>
      </c>
      <c r="D48" s="6">
        <v>4716.71</v>
      </c>
      <c r="E48" s="316" t="s">
        <v>356</v>
      </c>
      <c r="F48" s="166">
        <f t="shared" si="16"/>
        <v>4622.3757999999998</v>
      </c>
      <c r="G48" s="165">
        <v>0.98</v>
      </c>
      <c r="H48" s="315" t="s">
        <v>174</v>
      </c>
      <c r="I48" s="6">
        <v>15470</v>
      </c>
      <c r="J48" s="316" t="s">
        <v>356</v>
      </c>
      <c r="K48" s="166">
        <f t="shared" si="17"/>
        <v>15160.6</v>
      </c>
      <c r="L48" s="817">
        <v>0.98</v>
      </c>
      <c r="M48" s="315" t="s">
        <v>174</v>
      </c>
      <c r="N48" s="6">
        <v>5307.27</v>
      </c>
      <c r="O48" s="316" t="s">
        <v>356</v>
      </c>
      <c r="P48" s="166">
        <f t="shared" si="18"/>
        <v>5201.1246000000001</v>
      </c>
      <c r="Q48" s="824">
        <f>L48</f>
        <v>0.98</v>
      </c>
      <c r="R48" s="315" t="s">
        <v>174</v>
      </c>
      <c r="S48" s="6">
        <v>7000</v>
      </c>
      <c r="T48" s="316" t="s">
        <v>356</v>
      </c>
      <c r="U48" s="166">
        <f t="shared" si="19"/>
        <v>6860</v>
      </c>
      <c r="V48" s="824">
        <f>Q48</f>
        <v>0.98</v>
      </c>
      <c r="W48" s="315" t="s">
        <v>174</v>
      </c>
      <c r="X48" s="6">
        <f t="shared" si="21"/>
        <v>7000</v>
      </c>
      <c r="Y48" s="316" t="s">
        <v>356</v>
      </c>
      <c r="Z48" s="166">
        <f t="shared" si="20"/>
        <v>6860</v>
      </c>
    </row>
    <row r="49" spans="1:26" ht="15" customHeight="1" thickBot="1">
      <c r="A49" s="1202" t="s">
        <v>393</v>
      </c>
      <c r="B49" s="1203">
        <v>1.8</v>
      </c>
      <c r="C49" s="1054" t="s">
        <v>174</v>
      </c>
      <c r="D49" s="1055">
        <v>9625</v>
      </c>
      <c r="E49" s="1049" t="s">
        <v>356</v>
      </c>
      <c r="F49" s="1056">
        <f t="shared" si="16"/>
        <v>17325</v>
      </c>
      <c r="G49" s="1203">
        <v>1.8</v>
      </c>
      <c r="H49" s="1054" t="s">
        <v>174</v>
      </c>
      <c r="I49" s="1055">
        <v>3110</v>
      </c>
      <c r="J49" s="1049" t="s">
        <v>356</v>
      </c>
      <c r="K49" s="1056">
        <f t="shared" si="17"/>
        <v>5598</v>
      </c>
      <c r="L49" s="1053">
        <v>1.8</v>
      </c>
      <c r="M49" s="1054" t="s">
        <v>174</v>
      </c>
      <c r="N49" s="1055">
        <v>20659.739999999998</v>
      </c>
      <c r="O49" s="1049" t="s">
        <v>356</v>
      </c>
      <c r="P49" s="1056">
        <f t="shared" si="18"/>
        <v>37187.531999999999</v>
      </c>
      <c r="Q49" s="1204">
        <f>L49</f>
        <v>1.8</v>
      </c>
      <c r="R49" s="1054" t="s">
        <v>174</v>
      </c>
      <c r="S49" s="1055">
        <v>12000</v>
      </c>
      <c r="T49" s="1049" t="s">
        <v>356</v>
      </c>
      <c r="U49" s="1056">
        <f t="shared" si="19"/>
        <v>21600</v>
      </c>
      <c r="V49" s="1204">
        <f>Q49</f>
        <v>1.8</v>
      </c>
      <c r="W49" s="1054" t="s">
        <v>174</v>
      </c>
      <c r="X49" s="6">
        <f t="shared" si="21"/>
        <v>12000</v>
      </c>
      <c r="Y49" s="1049" t="s">
        <v>356</v>
      </c>
      <c r="Z49" s="1056">
        <f t="shared" si="20"/>
        <v>21600</v>
      </c>
    </row>
    <row r="50" spans="1:26" ht="15" customHeight="1" thickBot="1">
      <c r="A50" s="1205" t="s">
        <v>121</v>
      </c>
      <c r="B50" s="1206">
        <f>IF(D50&gt;0,F50/D50,0)</f>
        <v>0.8243201292411021</v>
      </c>
      <c r="C50" s="1207" t="s">
        <v>174</v>
      </c>
      <c r="D50" s="1208">
        <f>SUM(D42:D49)</f>
        <v>36347.569999999992</v>
      </c>
      <c r="E50" s="1207" t="s">
        <v>355</v>
      </c>
      <c r="F50" s="1209">
        <f>SUM(F42:F49)</f>
        <v>29962.033599999999</v>
      </c>
      <c r="G50" s="1206">
        <f>IF(I50&gt;0,K50/I50,0)</f>
        <v>0.72297818427773897</v>
      </c>
      <c r="H50" s="1207" t="s">
        <v>174</v>
      </c>
      <c r="I50" s="1208">
        <f>SUM(I42:I49)</f>
        <v>39622.800000000003</v>
      </c>
      <c r="J50" s="1207" t="s">
        <v>355</v>
      </c>
      <c r="K50" s="1209">
        <f>SUM(K42:K49)</f>
        <v>28646.42</v>
      </c>
      <c r="L50" s="1210">
        <f>IF(N50&gt;0,P50/N50,0)</f>
        <v>0.98552335324622753</v>
      </c>
      <c r="M50" s="1207" t="s">
        <v>174</v>
      </c>
      <c r="N50" s="1208">
        <f>SUM(N42:N49)</f>
        <v>52284.38</v>
      </c>
      <c r="O50" s="1207" t="s">
        <v>355</v>
      </c>
      <c r="P50" s="1209">
        <f>SUM(P42:P49)</f>
        <v>51527.477499999994</v>
      </c>
      <c r="Q50" s="1211">
        <f>IF(S50&gt;0,U50/S50,0)</f>
        <v>0.86785714285714288</v>
      </c>
      <c r="R50" s="1207" t="s">
        <v>174</v>
      </c>
      <c r="S50" s="1208">
        <f>SUM(S42:S49)</f>
        <v>42000</v>
      </c>
      <c r="T50" s="1207" t="s">
        <v>355</v>
      </c>
      <c r="U50" s="1209">
        <f>SUM(U42:U49)</f>
        <v>36450</v>
      </c>
      <c r="V50" s="1211">
        <f>IF(X50&gt;0,Z50/X50,0)</f>
        <v>0.86785714285714288</v>
      </c>
      <c r="W50" s="1207" t="s">
        <v>174</v>
      </c>
      <c r="X50" s="1208">
        <f>SUM(X42:X49)</f>
        <v>42000</v>
      </c>
      <c r="Y50" s="1207" t="s">
        <v>355</v>
      </c>
      <c r="Z50" s="1209">
        <f>SUM(Z42:Z49)</f>
        <v>36450</v>
      </c>
    </row>
    <row r="51" spans="1:26" ht="15" customHeight="1">
      <c r="A51" s="494"/>
      <c r="B51" s="1628" t="s">
        <v>315</v>
      </c>
      <c r="C51" s="1628"/>
      <c r="D51" s="324" t="s">
        <v>349</v>
      </c>
      <c r="E51" s="258"/>
      <c r="F51" s="325">
        <v>29962</v>
      </c>
      <c r="G51" s="1629" t="s">
        <v>315</v>
      </c>
      <c r="H51" s="1629"/>
      <c r="I51" s="324" t="s">
        <v>349</v>
      </c>
      <c r="J51" s="258"/>
      <c r="K51" s="325">
        <v>28646</v>
      </c>
      <c r="L51" s="1629" t="s">
        <v>315</v>
      </c>
      <c r="M51" s="1629"/>
      <c r="N51" s="324" t="s">
        <v>349</v>
      </c>
      <c r="O51" s="258"/>
      <c r="P51" s="325">
        <v>51528</v>
      </c>
    </row>
    <row r="52" spans="1:26" ht="15" customHeight="1">
      <c r="A52" s="494"/>
      <c r="B52" s="322"/>
      <c r="C52" s="323" t="s">
        <v>316</v>
      </c>
      <c r="D52" s="324" t="s">
        <v>349</v>
      </c>
      <c r="E52" s="258"/>
      <c r="F52" s="325">
        <f>F50-F51</f>
        <v>3.3599999998841668E-2</v>
      </c>
      <c r="G52" s="322"/>
      <c r="H52" s="323" t="s">
        <v>316</v>
      </c>
      <c r="I52" s="324" t="s">
        <v>349</v>
      </c>
      <c r="J52" s="258"/>
      <c r="K52" s="325">
        <f>K50-K51</f>
        <v>0.41999999999825377</v>
      </c>
      <c r="L52" s="494"/>
      <c r="M52" s="323" t="s">
        <v>316</v>
      </c>
      <c r="N52" s="324" t="s">
        <v>349</v>
      </c>
      <c r="O52" s="258"/>
      <c r="P52" s="325">
        <f>P50-P51</f>
        <v>-0.52250000000640284</v>
      </c>
    </row>
  </sheetData>
  <customSheetViews>
    <customSheetView guid="{9D39536F-7A22-4529-9C64-FD3A1A808A75}" topLeftCell="A16">
      <selection activeCell="D43" sqref="D43"/>
      <pageMargins left="0.7" right="0.7" top="0.75" bottom="0.75" header="0.3" footer="0.3"/>
      <pageSetup paperSize="9" orientation="portrait" r:id="rId1"/>
    </customSheetView>
    <customSheetView guid="{6C236B63-681D-4F29-AD2F-15CCCBE175D6}" topLeftCell="A16">
      <selection activeCell="D43" sqref="D43"/>
      <pageMargins left="0.7" right="0.7" top="0.75" bottom="0.75" header="0.3" footer="0.3"/>
      <pageSetup paperSize="9" orientation="portrait" r:id="rId2"/>
    </customSheetView>
    <customSheetView guid="{2DAF91AD-ADBA-4D7F-A05E-C1061079573C}" topLeftCell="A13">
      <selection activeCell="F35" sqref="F35"/>
      <pageMargins left="0.7" right="0.7" top="0.75" bottom="0.75" header="0.3" footer="0.3"/>
      <pageSetup paperSize="9" orientation="portrait" r:id="rId3"/>
    </customSheetView>
  </customSheetViews>
  <mergeCells count="32">
    <mergeCell ref="L2:P3"/>
    <mergeCell ref="V2:Z2"/>
    <mergeCell ref="A2:A4"/>
    <mergeCell ref="A8:A10"/>
    <mergeCell ref="A11:A13"/>
    <mergeCell ref="B2:F3"/>
    <mergeCell ref="G2:K3"/>
    <mergeCell ref="A14:A15"/>
    <mergeCell ref="A24:A25"/>
    <mergeCell ref="A26:A27"/>
    <mergeCell ref="A20:A22"/>
    <mergeCell ref="B29:C29"/>
    <mergeCell ref="B20:F21"/>
    <mergeCell ref="A32:A33"/>
    <mergeCell ref="A34:A35"/>
    <mergeCell ref="L29:M29"/>
    <mergeCell ref="L37:M37"/>
    <mergeCell ref="B37:C37"/>
    <mergeCell ref="A31:B31"/>
    <mergeCell ref="G20:K21"/>
    <mergeCell ref="L20:P21"/>
    <mergeCell ref="G37:H37"/>
    <mergeCell ref="L51:M51"/>
    <mergeCell ref="G29:H29"/>
    <mergeCell ref="B51:C51"/>
    <mergeCell ref="G51:H51"/>
    <mergeCell ref="V20:Z20"/>
    <mergeCell ref="Q2:U3"/>
    <mergeCell ref="AA3:AA4"/>
    <mergeCell ref="AB3:AB4"/>
    <mergeCell ref="AA2:AB2"/>
    <mergeCell ref="Q20:U21"/>
  </mergeCells>
  <pageMargins left="0.70866141732283472" right="0.70866141732283472" top="0.74803149606299213" bottom="0.74803149606299213" header="0.31496062992125984" footer="0.31496062992125984"/>
  <pageSetup paperSize="9" scale="70" orientation="landscape" r:id="rId4"/>
  <ignoredErrors>
    <ignoredError sqref="U31 U36 Q28 Q36 AA29:AA30 AA19:AA23" evalError="1"/>
  </ignoredErrors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41"/>
  <sheetViews>
    <sheetView zoomScale="80" zoomScaleNormal="80" workbookViewId="0">
      <selection sqref="A1:XFD1"/>
    </sheetView>
  </sheetViews>
  <sheetFormatPr defaultColWidth="9.33203125" defaultRowHeight="13.2"/>
  <cols>
    <col min="1" max="1" width="39.6640625" style="966" customWidth="1"/>
    <col min="2" max="2" width="15" style="966" customWidth="1"/>
    <col min="3" max="3" width="15.109375" style="966" customWidth="1"/>
    <col min="4" max="4" width="12.44140625" style="966" bestFit="1" customWidth="1"/>
    <col min="5" max="5" width="13.6640625" style="966" customWidth="1"/>
    <col min="6" max="6" width="11.6640625" style="966" customWidth="1"/>
    <col min="7" max="7" width="11.44140625" style="966" bestFit="1" customWidth="1"/>
    <col min="8" max="10" width="12.109375" style="966" customWidth="1"/>
    <col min="11" max="11" width="11.44140625" style="966" bestFit="1" customWidth="1"/>
    <col min="12" max="12" width="9.109375" style="966" customWidth="1"/>
    <col min="13" max="13" width="10" style="966" bestFit="1" customWidth="1"/>
    <col min="14" max="14" width="9.109375" style="966" customWidth="1"/>
    <col min="15" max="15" width="11" style="966" customWidth="1"/>
    <col min="16" max="16" width="14.109375" style="966" customWidth="1"/>
    <col min="17" max="17" width="13" style="966" customWidth="1"/>
    <col min="18" max="16384" width="9.33203125" style="966"/>
  </cols>
  <sheetData>
    <row r="1" spans="1:17" s="996" customFormat="1" ht="16.2" thickBot="1">
      <c r="A1" s="2062" t="s">
        <v>544</v>
      </c>
      <c r="B1" s="2063"/>
      <c r="C1" s="2063"/>
      <c r="D1" s="2063"/>
      <c r="E1" s="2063"/>
      <c r="G1" s="1026"/>
      <c r="H1" s="1026"/>
      <c r="I1" s="1026"/>
      <c r="J1" s="1026"/>
      <c r="K1" s="1026"/>
    </row>
    <row r="2" spans="1:17">
      <c r="A2" s="1941" t="s">
        <v>123</v>
      </c>
      <c r="B2" s="1943" t="s">
        <v>1194</v>
      </c>
      <c r="C2" s="1944"/>
      <c r="D2" s="1944"/>
      <c r="E2" s="1944"/>
      <c r="F2" s="1944"/>
      <c r="G2" s="1944"/>
      <c r="H2" s="1944"/>
      <c r="I2" s="1944"/>
      <c r="J2" s="1944"/>
      <c r="K2" s="1944"/>
      <c r="L2" s="1945"/>
      <c r="O2" s="967"/>
    </row>
    <row r="3" spans="1:17" ht="51" customHeight="1" thickBot="1">
      <c r="A3" s="1942"/>
      <c r="B3" s="968" t="s">
        <v>1094</v>
      </c>
      <c r="C3" s="969" t="s">
        <v>220</v>
      </c>
      <c r="D3" s="969" t="s">
        <v>1116</v>
      </c>
      <c r="E3" s="617" t="s">
        <v>1095</v>
      </c>
      <c r="F3" s="970" t="s">
        <v>1096</v>
      </c>
      <c r="G3" s="971" t="s">
        <v>1097</v>
      </c>
      <c r="H3" s="972" t="s">
        <v>382</v>
      </c>
      <c r="I3" s="970" t="s">
        <v>1098</v>
      </c>
      <c r="J3" s="971" t="s">
        <v>1099</v>
      </c>
      <c r="K3" s="973" t="s">
        <v>150</v>
      </c>
      <c r="L3" s="970" t="s">
        <v>149</v>
      </c>
      <c r="M3" s="1078" t="s">
        <v>1100</v>
      </c>
      <c r="N3" s="974" t="s">
        <v>1101</v>
      </c>
    </row>
    <row r="4" spans="1:17" ht="15.6">
      <c r="A4" s="975" t="s">
        <v>1102</v>
      </c>
      <c r="B4" s="976">
        <f>(C13*D13)+(C14*D14)+(C15*D15)+(C16*D16)+(C17*D17)+(C18*D18)+(C19*D19)+(C20*D20)</f>
        <v>73177.077875802468</v>
      </c>
      <c r="C4" s="977">
        <f>(C22*D22)+(C26*D26)+(C27*D27)+(C28*D28)+(C29*D29)</f>
        <v>655650.83922472387</v>
      </c>
      <c r="D4" s="977">
        <f>C31*D31</f>
        <v>172599.40156892972</v>
      </c>
      <c r="E4" s="978">
        <f>(C33*D33+H26)*H29</f>
        <v>252600.74552090542</v>
      </c>
      <c r="F4" s="1077">
        <v>0</v>
      </c>
      <c r="G4" s="980">
        <f>SUM(B4:F4)</f>
        <v>1154028.0641903614</v>
      </c>
      <c r="H4" s="981">
        <f>'3. Üldiseloomustus'!H11</f>
        <v>451652.38699999999</v>
      </c>
      <c r="I4" s="979">
        <f>G4*0.2%</f>
        <v>2308.0561283807228</v>
      </c>
      <c r="J4" s="980">
        <f>G4+I4</f>
        <v>1156336.1203187422</v>
      </c>
      <c r="K4" s="982">
        <f>IF(H4&gt;0,J4/H4,0)</f>
        <v>2.5602347150193236</v>
      </c>
      <c r="L4" s="983" t="s">
        <v>381</v>
      </c>
      <c r="M4" s="1417">
        <f>'2. Kasumiaruanne'!T6</f>
        <v>1156336.1203187422</v>
      </c>
      <c r="N4" s="1418">
        <f>J4-M4</f>
        <v>0</v>
      </c>
    </row>
    <row r="5" spans="1:17" ht="16.2" thickBot="1">
      <c r="A5" s="984" t="s">
        <v>1103</v>
      </c>
      <c r="B5" s="976">
        <f>(C13*E13)+(C14*E14)+(C15*E15)+(C16*E16)+(C17*E17)+(C18*E18)+(C19*E19)+(C20*E20)</f>
        <v>429197.89929119748</v>
      </c>
      <c r="C5" s="977">
        <f>(C22*E22)+(C26*E26)+(C27*E27)+(C28*E28)+(C29*E29)</f>
        <v>542149.17730500607</v>
      </c>
      <c r="D5" s="977">
        <f>C31*E31</f>
        <v>179644.27510235546</v>
      </c>
      <c r="E5" s="978">
        <f>(C33*E33+I26)*H29</f>
        <v>263002.45584668947</v>
      </c>
      <c r="F5" s="1077">
        <v>0</v>
      </c>
      <c r="G5" s="980">
        <f>SUM(B5:F5)</f>
        <v>1413993.8075452484</v>
      </c>
      <c r="H5" s="985">
        <f>'3. Üldiseloomustus'!H61</f>
        <v>343742.79927962355</v>
      </c>
      <c r="I5" s="979">
        <f>G5*0.2%</f>
        <v>2827.987615090497</v>
      </c>
      <c r="J5" s="980">
        <f>G5+I5</f>
        <v>1416821.795160339</v>
      </c>
      <c r="K5" s="982">
        <f>IF(H5&gt;0,J5/H5,0)</f>
        <v>4.1217497446624352</v>
      </c>
      <c r="L5" s="983" t="s">
        <v>381</v>
      </c>
      <c r="M5" s="1417">
        <f>'2. Kasumiaruanne'!T7</f>
        <v>1416823.6529169357</v>
      </c>
      <c r="N5" s="1418">
        <f>J5-M5</f>
        <v>-1.857756596757099</v>
      </c>
    </row>
    <row r="6" spans="1:17" ht="13.8" thickBot="1">
      <c r="A6" s="986" t="s">
        <v>121</v>
      </c>
      <c r="B6" s="987">
        <f t="shared" ref="B6:K6" si="0">SUM(B4:B5)</f>
        <v>502374.97716699995</v>
      </c>
      <c r="C6" s="988">
        <f t="shared" si="0"/>
        <v>1197800.0165297301</v>
      </c>
      <c r="D6" s="988">
        <f t="shared" si="0"/>
        <v>352243.67667128518</v>
      </c>
      <c r="E6" s="989">
        <f t="shared" si="0"/>
        <v>515603.20136759488</v>
      </c>
      <c r="F6" s="990">
        <f t="shared" si="0"/>
        <v>0</v>
      </c>
      <c r="G6" s="991">
        <f t="shared" si="0"/>
        <v>2568021.8717356101</v>
      </c>
      <c r="H6" s="992">
        <f t="shared" si="0"/>
        <v>795395.18627962354</v>
      </c>
      <c r="I6" s="990">
        <f t="shared" si="0"/>
        <v>5136.0437434712203</v>
      </c>
      <c r="J6" s="993">
        <f t="shared" si="0"/>
        <v>2573157.9154790812</v>
      </c>
      <c r="K6" s="994">
        <f t="shared" si="0"/>
        <v>6.6819844596817592</v>
      </c>
      <c r="L6" s="995" t="s">
        <v>349</v>
      </c>
      <c r="M6" s="996"/>
      <c r="N6" s="996"/>
    </row>
    <row r="7" spans="1:17">
      <c r="A7" s="997" t="s">
        <v>1104</v>
      </c>
      <c r="B7" s="998">
        <f>B6-'2. Kasumiaruanne'!T41+'2. Kasumiaruanne'!T40</f>
        <v>1.2732925824820995E-11</v>
      </c>
      <c r="C7" s="998">
        <f>C6-'2. Kasumiaruanne'!T98+'2. Kasumiaruanne'!T97</f>
        <v>0</v>
      </c>
      <c r="D7" s="998">
        <f>D6-'2. Kasumiaruanne'!T100</f>
        <v>0</v>
      </c>
      <c r="E7" s="998"/>
      <c r="F7" s="998"/>
      <c r="G7" s="998"/>
      <c r="H7" s="998"/>
      <c r="I7" s="998"/>
      <c r="J7" s="998"/>
      <c r="K7" s="998"/>
      <c r="L7" s="998"/>
      <c r="M7" s="996"/>
      <c r="N7" s="996"/>
    </row>
    <row r="8" spans="1:17" ht="15">
      <c r="A8" s="999"/>
      <c r="B8" s="1000"/>
      <c r="H8" s="996"/>
      <c r="I8" s="996"/>
      <c r="L8" s="996"/>
      <c r="M8" s="996"/>
      <c r="N8" s="996"/>
      <c r="O8" s="967"/>
    </row>
    <row r="9" spans="1:17" ht="13.5" customHeight="1" thickBot="1">
      <c r="A9" s="1946" t="s">
        <v>1105</v>
      </c>
      <c r="B9" s="1946"/>
      <c r="C9" s="1946"/>
      <c r="D9" s="1946"/>
      <c r="E9" s="1946"/>
      <c r="F9" s="1946"/>
      <c r="L9" s="967"/>
    </row>
    <row r="10" spans="1:17" ht="15" customHeight="1" thickBot="1">
      <c r="A10" s="1947" t="s">
        <v>1106</v>
      </c>
      <c r="B10" s="1948"/>
      <c r="C10" s="1951" t="s">
        <v>1107</v>
      </c>
      <c r="D10" s="1953" t="s">
        <v>1045</v>
      </c>
      <c r="E10" s="1955" t="s">
        <v>1046</v>
      </c>
      <c r="F10" s="1957" t="s">
        <v>1108</v>
      </c>
      <c r="H10" s="1939" t="s">
        <v>1109</v>
      </c>
      <c r="I10" s="1939"/>
      <c r="J10" s="1939"/>
      <c r="K10" s="1001"/>
      <c r="L10" s="1001"/>
      <c r="O10" s="1001"/>
      <c r="P10" s="1001"/>
      <c r="Q10" s="1001"/>
    </row>
    <row r="11" spans="1:17" ht="13.8" thickBot="1">
      <c r="A11" s="1949"/>
      <c r="B11" s="1950"/>
      <c r="C11" s="1952"/>
      <c r="D11" s="1954"/>
      <c r="E11" s="1956"/>
      <c r="F11" s="1958"/>
      <c r="H11" s="1927">
        <v>2025</v>
      </c>
      <c r="I11" s="1928"/>
      <c r="O11" s="1001"/>
      <c r="P11" s="1002"/>
      <c r="Q11" s="1002"/>
    </row>
    <row r="12" spans="1:17" ht="12.75" customHeight="1" thickBot="1">
      <c r="A12" s="1940" t="s">
        <v>1110</v>
      </c>
      <c r="B12" s="1940"/>
      <c r="C12" s="1003"/>
      <c r="D12" s="1004"/>
      <c r="E12" s="1005"/>
      <c r="F12" s="1006"/>
      <c r="H12" s="1007" t="s">
        <v>1102</v>
      </c>
      <c r="I12" s="1008" t="s">
        <v>1103</v>
      </c>
      <c r="J12" s="1009" t="s">
        <v>1104</v>
      </c>
      <c r="M12" s="1010"/>
      <c r="N12" s="1010"/>
      <c r="O12" s="1010"/>
      <c r="P12" s="1011"/>
      <c r="Q12" s="1011"/>
    </row>
    <row r="13" spans="1:17" ht="12.75" customHeight="1">
      <c r="A13" s="1938" t="s">
        <v>186</v>
      </c>
      <c r="B13" s="1938"/>
      <c r="C13" s="1012">
        <f>'2. Kasumiaruanne'!T32</f>
        <v>52499.217258302473</v>
      </c>
      <c r="D13" s="1013">
        <v>1</v>
      </c>
      <c r="E13" s="1014"/>
      <c r="F13" s="1015">
        <f>SUM(D13:E13)</f>
        <v>1</v>
      </c>
      <c r="G13" s="996"/>
      <c r="H13" s="1421">
        <f>ROUND(IF(H4&gt;0,H4/H6,0),2)</f>
        <v>0.56999999999999995</v>
      </c>
      <c r="I13" s="1421">
        <f>ROUND(IF(H5&gt;0,H5/H6,0),2)</f>
        <v>0.43</v>
      </c>
      <c r="J13" s="1016">
        <f>SUM(H13:I13)</f>
        <v>1</v>
      </c>
      <c r="K13" s="996"/>
      <c r="M13" s="1010"/>
      <c r="N13" s="1010"/>
      <c r="O13" s="1010"/>
      <c r="P13" s="1011"/>
      <c r="Q13" s="1011"/>
    </row>
    <row r="14" spans="1:17" ht="12.75" customHeight="1">
      <c r="A14" s="1938" t="s">
        <v>190</v>
      </c>
      <c r="B14" s="1938"/>
      <c r="C14" s="1012">
        <f>'2. Kasumiaruanne'!T33</f>
        <v>4723.0481586974865</v>
      </c>
      <c r="D14" s="1013"/>
      <c r="E14" s="1014">
        <v>1</v>
      </c>
      <c r="F14" s="1015">
        <f>SUM(D14:E14)</f>
        <v>1</v>
      </c>
      <c r="H14" s="1017"/>
      <c r="I14" s="1017"/>
      <c r="J14" s="1018"/>
      <c r="M14" s="1010"/>
      <c r="N14" s="1010"/>
      <c r="O14" s="1010"/>
      <c r="P14" s="1011"/>
      <c r="Q14" s="1011"/>
    </row>
    <row r="15" spans="1:17" ht="12.75" customHeight="1" thickBot="1">
      <c r="A15" s="1938" t="s">
        <v>156</v>
      </c>
      <c r="B15" s="1938"/>
      <c r="C15" s="1012">
        <f>'2. Kasumiaruanne'!T34</f>
        <v>0</v>
      </c>
      <c r="D15" s="1019"/>
      <c r="E15" s="1014"/>
      <c r="F15" s="162" t="s">
        <v>701</v>
      </c>
      <c r="G15" s="996"/>
      <c r="H15" s="1939" t="s">
        <v>1111</v>
      </c>
      <c r="I15" s="1939"/>
      <c r="J15" s="1939"/>
      <c r="M15" s="1010"/>
      <c r="N15" s="1010"/>
      <c r="O15" s="1010"/>
      <c r="P15" s="1011"/>
      <c r="Q15" s="1011"/>
    </row>
    <row r="16" spans="1:17" ht="13.5" customHeight="1" thickBot="1">
      <c r="A16" s="1920" t="s">
        <v>88</v>
      </c>
      <c r="B16" s="1920"/>
      <c r="C16" s="1012">
        <f>'2. Kasumiaruanne'!T35</f>
        <v>2329.8249999999998</v>
      </c>
      <c r="D16" s="1415">
        <f>H13</f>
        <v>0.56999999999999995</v>
      </c>
      <c r="E16" s="1416">
        <f>I13</f>
        <v>0.43</v>
      </c>
      <c r="F16" s="1015">
        <f>SUM(D16:E16)</f>
        <v>1</v>
      </c>
      <c r="G16" s="996"/>
      <c r="H16" s="1020" t="s">
        <v>1112</v>
      </c>
      <c r="I16" s="1021" t="s">
        <v>1102</v>
      </c>
      <c r="J16" s="1022" t="s">
        <v>1103</v>
      </c>
      <c r="K16" s="1023" t="s">
        <v>121</v>
      </c>
      <c r="L16" s="1024"/>
      <c r="M16" s="1010"/>
      <c r="N16" s="1010"/>
      <c r="O16" s="1010"/>
      <c r="P16" s="1011"/>
      <c r="Q16" s="1011"/>
    </row>
    <row r="17" spans="1:17">
      <c r="A17" s="1920" t="s">
        <v>89</v>
      </c>
      <c r="B17" s="1920"/>
      <c r="C17" s="1012">
        <f>'2. Kasumiaruanne'!T36</f>
        <v>4244.8427499999998</v>
      </c>
      <c r="D17" s="1415">
        <f>H13</f>
        <v>0.56999999999999995</v>
      </c>
      <c r="E17" s="1416">
        <f>I13</f>
        <v>0.43</v>
      </c>
      <c r="F17" s="1015">
        <f>SUM(D17:E17)</f>
        <v>1</v>
      </c>
      <c r="G17" s="996"/>
      <c r="H17" s="1079">
        <v>2022</v>
      </c>
      <c r="I17" s="1080">
        <f>'2. Kasumiaruanne'!H6</f>
        <v>578045</v>
      </c>
      <c r="J17" s="1081">
        <f>'2. Kasumiaruanne'!H7</f>
        <v>633992</v>
      </c>
      <c r="K17" s="1082">
        <f>SUM(I17:J17)</f>
        <v>1212037</v>
      </c>
      <c r="L17" s="1025"/>
      <c r="M17" s="1026"/>
      <c r="N17" s="1026"/>
      <c r="O17" s="1026"/>
      <c r="P17" s="1027"/>
      <c r="Q17" s="1027"/>
    </row>
    <row r="18" spans="1:17">
      <c r="A18" s="1920" t="s">
        <v>1122</v>
      </c>
      <c r="B18" s="1920"/>
      <c r="C18" s="1012">
        <f>'2. Kasumiaruanne'!T37</f>
        <v>16930.3</v>
      </c>
      <c r="D18" s="1013">
        <v>1</v>
      </c>
      <c r="E18" s="1014"/>
      <c r="F18" s="1015">
        <f>SUM(D18:E18)</f>
        <v>1</v>
      </c>
      <c r="G18" s="996"/>
      <c r="H18" s="1083">
        <v>2023</v>
      </c>
      <c r="I18" s="976">
        <f>'2. Kasumiaruanne'!L6</f>
        <v>683679</v>
      </c>
      <c r="J18" s="979">
        <f>'2. Kasumiaruanne'!L7</f>
        <v>740074</v>
      </c>
      <c r="K18" s="1082">
        <f>SUM(I18:J18)</f>
        <v>1423753</v>
      </c>
      <c r="L18" s="1025"/>
      <c r="M18" s="1026"/>
      <c r="N18" s="1026"/>
      <c r="O18" s="1026"/>
      <c r="P18" s="1027"/>
      <c r="Q18" s="1027"/>
    </row>
    <row r="19" spans="1:17" ht="13.8" thickBot="1">
      <c r="A19" s="1920" t="s">
        <v>1123</v>
      </c>
      <c r="B19" s="1920"/>
      <c r="C19" s="1012">
        <f>'2. Kasumiaruanne'!T38</f>
        <v>421647.74400000001</v>
      </c>
      <c r="D19" s="1013"/>
      <c r="E19" s="1014">
        <v>1</v>
      </c>
      <c r="F19" s="1015">
        <f>SUM(D19:E19)</f>
        <v>1</v>
      </c>
      <c r="G19" s="996"/>
      <c r="H19" s="1084">
        <v>2024</v>
      </c>
      <c r="I19" s="1085">
        <f>'2. Kasumiaruanne'!P6</f>
        <v>730371.11988999997</v>
      </c>
      <c r="J19" s="1086">
        <f>'2. Kasumiaruanne'!P7</f>
        <v>786736.39999999991</v>
      </c>
      <c r="K19" s="1087">
        <f>SUM(I19:J19)</f>
        <v>1517107.5198899999</v>
      </c>
      <c r="L19" s="1025"/>
      <c r="M19" s="1026"/>
      <c r="N19" s="1026"/>
      <c r="O19" s="1026"/>
      <c r="P19" s="1027"/>
      <c r="Q19" s="1027"/>
    </row>
    <row r="20" spans="1:17">
      <c r="A20" s="1920" t="s">
        <v>1113</v>
      </c>
      <c r="B20" s="1920"/>
      <c r="C20" s="1028">
        <f>'2. Kasumiaruanne'!T39</f>
        <v>0</v>
      </c>
      <c r="D20" s="1029"/>
      <c r="E20" s="1030"/>
      <c r="F20" s="1047" t="s">
        <v>701</v>
      </c>
      <c r="G20" s="1920" t="s">
        <v>1114</v>
      </c>
      <c r="H20" s="1920"/>
      <c r="I20" s="1032">
        <f>AVERAGE(I17:I19)</f>
        <v>664031.70663000003</v>
      </c>
      <c r="J20" s="1033">
        <f>AVERAGE(J17:J19)</f>
        <v>720267.46666666667</v>
      </c>
      <c r="K20" s="1034">
        <f>AVERAGE(K17:K19)</f>
        <v>1384299.1732966667</v>
      </c>
      <c r="L20" s="1025"/>
      <c r="M20" s="1026"/>
      <c r="N20" s="1026"/>
      <c r="O20" s="1026"/>
      <c r="P20" s="1027"/>
      <c r="Q20" s="1027"/>
    </row>
    <row r="21" spans="1:17">
      <c r="A21" s="1937" t="s">
        <v>220</v>
      </c>
      <c r="B21" s="1937"/>
      <c r="C21" s="1012"/>
      <c r="D21" s="1013"/>
      <c r="E21" s="1014"/>
      <c r="F21" s="1015"/>
      <c r="G21" s="996"/>
      <c r="H21" s="996"/>
      <c r="I21" s="996"/>
      <c r="J21" s="996"/>
      <c r="K21" s="996"/>
      <c r="L21" s="996"/>
      <c r="P21" s="1035"/>
      <c r="Q21" s="1035"/>
    </row>
    <row r="22" spans="1:17" ht="12.75" customHeight="1">
      <c r="A22" s="1932" t="s">
        <v>1115</v>
      </c>
      <c r="B22" s="1932"/>
      <c r="C22" s="1933">
        <f>'2. Kasumiaruanne'!T98-SUM(C26:C29)-'2. Kasumiaruanne'!T97</f>
        <v>432990.7529622179</v>
      </c>
      <c r="D22" s="1934">
        <f>H13</f>
        <v>0.56999999999999995</v>
      </c>
      <c r="E22" s="1935">
        <f>I13</f>
        <v>0.43</v>
      </c>
      <c r="F22" s="1936">
        <f>SUM(D22:E25)</f>
        <v>1</v>
      </c>
      <c r="L22" s="967"/>
      <c r="Q22" s="1035"/>
    </row>
    <row r="23" spans="1:17" ht="13.8" thickBot="1">
      <c r="A23" s="1932"/>
      <c r="B23" s="1932"/>
      <c r="C23" s="1933"/>
      <c r="D23" s="1934"/>
      <c r="E23" s="1935"/>
      <c r="F23" s="1936"/>
      <c r="H23" s="1926" t="s">
        <v>384</v>
      </c>
      <c r="I23" s="1926"/>
      <c r="L23" s="967"/>
      <c r="Q23" s="1036"/>
    </row>
    <row r="24" spans="1:17">
      <c r="A24" s="1932"/>
      <c r="B24" s="1932"/>
      <c r="C24" s="1933"/>
      <c r="D24" s="1934"/>
      <c r="E24" s="1935"/>
      <c r="F24" s="1936"/>
      <c r="H24" s="1927">
        <v>2025</v>
      </c>
      <c r="I24" s="1928"/>
      <c r="L24" s="967"/>
      <c r="M24" s="967"/>
      <c r="N24" s="967"/>
      <c r="Q24" s="1027"/>
    </row>
    <row r="25" spans="1:17" ht="13.8" thickBot="1">
      <c r="A25" s="1932"/>
      <c r="B25" s="1932"/>
      <c r="C25" s="1933"/>
      <c r="D25" s="1934"/>
      <c r="E25" s="1935"/>
      <c r="F25" s="1936"/>
      <c r="H25" s="1419" t="s">
        <v>1102</v>
      </c>
      <c r="I25" s="1420" t="s">
        <v>1103</v>
      </c>
      <c r="J25" s="1024" t="s">
        <v>1104</v>
      </c>
      <c r="K25" s="996"/>
      <c r="L25" s="967"/>
      <c r="M25" s="967"/>
    </row>
    <row r="26" spans="1:17">
      <c r="A26" s="1929" t="s">
        <v>399</v>
      </c>
      <c r="B26" s="1920"/>
      <c r="C26" s="1037">
        <f>'2. Kasumiaruanne'!T43</f>
        <v>124507.93719239219</v>
      </c>
      <c r="D26" s="1415">
        <f>'7. Elekter'!BM110</f>
        <v>0.7</v>
      </c>
      <c r="E26" s="1416">
        <f>'7. Elekter'!BN110</f>
        <v>0.3</v>
      </c>
      <c r="F26" s="1015">
        <f>SUM(D26:E26)</f>
        <v>1</v>
      </c>
      <c r="H26" s="1038">
        <f>5%*I20</f>
        <v>33201.585331500006</v>
      </c>
      <c r="I26" s="1038">
        <f>5%*J20</f>
        <v>36013.373333333337</v>
      </c>
      <c r="J26" s="1039">
        <f>5%*K20-SUM(H26:I26)</f>
        <v>0</v>
      </c>
      <c r="K26" s="996"/>
      <c r="L26" s="967"/>
      <c r="M26" s="1026"/>
    </row>
    <row r="27" spans="1:17" ht="13.8" thickBot="1">
      <c r="A27" s="1929" t="s">
        <v>87</v>
      </c>
      <c r="B27" s="1920"/>
      <c r="C27" s="1037">
        <f>'2. Kasumiaruanne'!T44</f>
        <v>7332.8134001199996</v>
      </c>
      <c r="D27" s="1415">
        <f>'8. Kemikaalid'!I209</f>
        <v>0.71</v>
      </c>
      <c r="E27" s="1416">
        <f>'8. Kemikaalid'!J209</f>
        <v>0.28999999999999998</v>
      </c>
      <c r="F27" s="1015">
        <f>SUM(D27:E27)</f>
        <v>1</v>
      </c>
      <c r="L27" s="967"/>
      <c r="M27" s="1026"/>
    </row>
    <row r="28" spans="1:17">
      <c r="A28" s="1920" t="s">
        <v>80</v>
      </c>
      <c r="B28" s="1920"/>
      <c r="C28" s="1037">
        <f>'2. Kasumiaruanne'!T91</f>
        <v>632968.51297499996</v>
      </c>
      <c r="D28" s="1415">
        <f>'9. Palgakulud'!AD23</f>
        <v>0.5</v>
      </c>
      <c r="E28" s="1416">
        <f>'9. Palgakulud'!AC23</f>
        <v>0.5</v>
      </c>
      <c r="F28" s="1015">
        <f>SUM(D28:E28)</f>
        <v>1</v>
      </c>
      <c r="H28" s="1930" t="s">
        <v>571</v>
      </c>
      <c r="I28" s="1931"/>
      <c r="M28" s="967"/>
    </row>
    <row r="29" spans="1:17" ht="13.8" thickBot="1">
      <c r="A29" s="1918" t="s">
        <v>157</v>
      </c>
      <c r="B29" s="1919"/>
      <c r="C29" s="1040">
        <f>'2. Kasumiaruanne'!T78</f>
        <v>0</v>
      </c>
      <c r="D29" s="1041"/>
      <c r="E29" s="1042"/>
      <c r="F29" s="1043" t="s">
        <v>701</v>
      </c>
      <c r="H29" s="1921">
        <v>6.2799999999999995E-2</v>
      </c>
      <c r="I29" s="1922"/>
      <c r="J29" s="996"/>
      <c r="M29" s="967"/>
    </row>
    <row r="30" spans="1:17">
      <c r="A30" s="1923" t="s">
        <v>1116</v>
      </c>
      <c r="B30" s="1924"/>
      <c r="C30" s="1037"/>
      <c r="D30" s="1044"/>
      <c r="E30" s="1045"/>
      <c r="F30" s="1015"/>
      <c r="L30" s="967"/>
      <c r="M30" s="967"/>
    </row>
    <row r="31" spans="1:17">
      <c r="A31" s="1925" t="s">
        <v>370</v>
      </c>
      <c r="B31" s="1919"/>
      <c r="C31" s="1040">
        <f>'2. Kasumiaruanne'!T100</f>
        <v>352243.67667128518</v>
      </c>
      <c r="D31" s="1449">
        <v>0.49</v>
      </c>
      <c r="E31" s="1042">
        <v>0.51</v>
      </c>
      <c r="F31" s="1031">
        <f>SUM(D31:E31)</f>
        <v>1</v>
      </c>
      <c r="L31" s="967"/>
      <c r="M31" s="967"/>
    </row>
    <row r="32" spans="1:17">
      <c r="A32" s="1916" t="s">
        <v>1095</v>
      </c>
      <c r="B32" s="1917"/>
      <c r="C32" s="1037"/>
      <c r="D32" s="1019"/>
      <c r="E32" s="1014"/>
      <c r="F32" s="1015"/>
      <c r="L32" s="967"/>
      <c r="M32" s="967"/>
    </row>
    <row r="33" spans="1:15">
      <c r="A33" s="1918" t="s">
        <v>1117</v>
      </c>
      <c r="B33" s="1919"/>
      <c r="C33" s="1040">
        <f>'5. Põhivara'!CG60</f>
        <v>8141027.1013287157</v>
      </c>
      <c r="D33" s="1449">
        <v>0.49</v>
      </c>
      <c r="E33" s="1042">
        <v>0.51</v>
      </c>
      <c r="F33" s="1031">
        <f>SUM(D33:E33)</f>
        <v>1</v>
      </c>
      <c r="L33" s="967"/>
      <c r="M33" s="967"/>
    </row>
    <row r="34" spans="1:15">
      <c r="A34" s="996"/>
      <c r="B34" s="996"/>
      <c r="C34" s="996"/>
      <c r="F34" s="1088"/>
    </row>
    <row r="35" spans="1:15">
      <c r="A35" s="996"/>
      <c r="B35" s="996"/>
      <c r="C35" s="996"/>
      <c r="F35" s="1088"/>
    </row>
    <row r="36" spans="1:15">
      <c r="A36" s="996"/>
      <c r="B36" s="996"/>
      <c r="C36" s="996"/>
      <c r="F36" s="1088"/>
      <c r="O36" s="1000"/>
    </row>
    <row r="37" spans="1:15">
      <c r="A37" s="996"/>
      <c r="B37" s="996"/>
      <c r="C37" s="996"/>
      <c r="F37" s="1046"/>
    </row>
    <row r="38" spans="1:15">
      <c r="A38" s="996"/>
      <c r="B38" s="996"/>
      <c r="C38" s="996"/>
      <c r="F38" s="1046"/>
    </row>
    <row r="40" spans="1:15">
      <c r="A40" s="967"/>
    </row>
    <row r="41" spans="1:15" ht="11.25" customHeight="1"/>
  </sheetData>
  <mergeCells count="40">
    <mergeCell ref="A12:B12"/>
    <mergeCell ref="A1:E1"/>
    <mergeCell ref="A2:A3"/>
    <mergeCell ref="B2:L2"/>
    <mergeCell ref="A9:F9"/>
    <mergeCell ref="A10:B11"/>
    <mergeCell ref="C10:C11"/>
    <mergeCell ref="D10:D11"/>
    <mergeCell ref="E10:E11"/>
    <mergeCell ref="F10:F11"/>
    <mergeCell ref="H10:J10"/>
    <mergeCell ref="H11:I11"/>
    <mergeCell ref="G20:H20"/>
    <mergeCell ref="A13:B13"/>
    <mergeCell ref="A14:B14"/>
    <mergeCell ref="A15:B15"/>
    <mergeCell ref="H15:J15"/>
    <mergeCell ref="A16:B16"/>
    <mergeCell ref="E22:E25"/>
    <mergeCell ref="F22:F25"/>
    <mergeCell ref="A17:B17"/>
    <mergeCell ref="A18:B18"/>
    <mergeCell ref="A20:B20"/>
    <mergeCell ref="A21:B21"/>
    <mergeCell ref="A32:B32"/>
    <mergeCell ref="A33:B33"/>
    <mergeCell ref="A19:B19"/>
    <mergeCell ref="A28:B28"/>
    <mergeCell ref="H29:I29"/>
    <mergeCell ref="A29:B29"/>
    <mergeCell ref="A30:B30"/>
    <mergeCell ref="A31:B31"/>
    <mergeCell ref="H23:I23"/>
    <mergeCell ref="H24:I24"/>
    <mergeCell ref="A26:B26"/>
    <mergeCell ref="A27:B27"/>
    <mergeCell ref="H28:I28"/>
    <mergeCell ref="A22:B25"/>
    <mergeCell ref="C22:C25"/>
    <mergeCell ref="D22:D25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ySplit="2" topLeftCell="A3" activePane="bottomLeft" state="frozen"/>
      <selection activeCell="AB8" sqref="AB8"/>
      <selection pane="bottomLeft" sqref="A1:XFD1"/>
    </sheetView>
  </sheetViews>
  <sheetFormatPr defaultRowHeight="13.8"/>
  <cols>
    <col min="1" max="1" width="25.33203125" style="1089" customWidth="1"/>
    <col min="2" max="3" width="11.6640625" style="1089" customWidth="1"/>
    <col min="4" max="4" width="10.5546875" style="1089" customWidth="1"/>
    <col min="5" max="5" width="10.33203125" style="1089" customWidth="1"/>
    <col min="6" max="6" width="10.5546875" style="1089" customWidth="1"/>
    <col min="7" max="9" width="10.6640625" style="1089" customWidth="1"/>
    <col min="10" max="256" width="8.88671875" style="1089"/>
    <col min="257" max="257" width="15.6640625" style="1089" customWidth="1"/>
    <col min="258" max="259" width="11.6640625" style="1089" customWidth="1"/>
    <col min="260" max="260" width="10.5546875" style="1089" customWidth="1"/>
    <col min="261" max="261" width="10.33203125" style="1089" customWidth="1"/>
    <col min="262" max="262" width="10.5546875" style="1089" customWidth="1"/>
    <col min="263" max="263" width="9" style="1089" customWidth="1"/>
    <col min="264" max="264" width="11.5546875" style="1089" customWidth="1"/>
    <col min="265" max="265" width="9.5546875" style="1089" customWidth="1"/>
    <col min="266" max="512" width="8.88671875" style="1089"/>
    <col min="513" max="513" width="15.6640625" style="1089" customWidth="1"/>
    <col min="514" max="515" width="11.6640625" style="1089" customWidth="1"/>
    <col min="516" max="516" width="10.5546875" style="1089" customWidth="1"/>
    <col min="517" max="517" width="10.33203125" style="1089" customWidth="1"/>
    <col min="518" max="518" width="10.5546875" style="1089" customWidth="1"/>
    <col min="519" max="519" width="9" style="1089" customWidth="1"/>
    <col min="520" max="520" width="11.5546875" style="1089" customWidth="1"/>
    <col min="521" max="521" width="9.5546875" style="1089" customWidth="1"/>
    <col min="522" max="768" width="8.88671875" style="1089"/>
    <col min="769" max="769" width="15.6640625" style="1089" customWidth="1"/>
    <col min="770" max="771" width="11.6640625" style="1089" customWidth="1"/>
    <col min="772" max="772" width="10.5546875" style="1089" customWidth="1"/>
    <col min="773" max="773" width="10.33203125" style="1089" customWidth="1"/>
    <col min="774" max="774" width="10.5546875" style="1089" customWidth="1"/>
    <col min="775" max="775" width="9" style="1089" customWidth="1"/>
    <col min="776" max="776" width="11.5546875" style="1089" customWidth="1"/>
    <col min="777" max="777" width="9.5546875" style="1089" customWidth="1"/>
    <col min="778" max="1024" width="8.88671875" style="1089"/>
    <col min="1025" max="1025" width="15.6640625" style="1089" customWidth="1"/>
    <col min="1026" max="1027" width="11.6640625" style="1089" customWidth="1"/>
    <col min="1028" max="1028" width="10.5546875" style="1089" customWidth="1"/>
    <col min="1029" max="1029" width="10.33203125" style="1089" customWidth="1"/>
    <col min="1030" max="1030" width="10.5546875" style="1089" customWidth="1"/>
    <col min="1031" max="1031" width="9" style="1089" customWidth="1"/>
    <col min="1032" max="1032" width="11.5546875" style="1089" customWidth="1"/>
    <col min="1033" max="1033" width="9.5546875" style="1089" customWidth="1"/>
    <col min="1034" max="1280" width="8.88671875" style="1089"/>
    <col min="1281" max="1281" width="15.6640625" style="1089" customWidth="1"/>
    <col min="1282" max="1283" width="11.6640625" style="1089" customWidth="1"/>
    <col min="1284" max="1284" width="10.5546875" style="1089" customWidth="1"/>
    <col min="1285" max="1285" width="10.33203125" style="1089" customWidth="1"/>
    <col min="1286" max="1286" width="10.5546875" style="1089" customWidth="1"/>
    <col min="1287" max="1287" width="9" style="1089" customWidth="1"/>
    <col min="1288" max="1288" width="11.5546875" style="1089" customWidth="1"/>
    <col min="1289" max="1289" width="9.5546875" style="1089" customWidth="1"/>
    <col min="1290" max="1536" width="8.88671875" style="1089"/>
    <col min="1537" max="1537" width="15.6640625" style="1089" customWidth="1"/>
    <col min="1538" max="1539" width="11.6640625" style="1089" customWidth="1"/>
    <col min="1540" max="1540" width="10.5546875" style="1089" customWidth="1"/>
    <col min="1541" max="1541" width="10.33203125" style="1089" customWidth="1"/>
    <col min="1542" max="1542" width="10.5546875" style="1089" customWidth="1"/>
    <col min="1543" max="1543" width="9" style="1089" customWidth="1"/>
    <col min="1544" max="1544" width="11.5546875" style="1089" customWidth="1"/>
    <col min="1545" max="1545" width="9.5546875" style="1089" customWidth="1"/>
    <col min="1546" max="1792" width="8.88671875" style="1089"/>
    <col min="1793" max="1793" width="15.6640625" style="1089" customWidth="1"/>
    <col min="1794" max="1795" width="11.6640625" style="1089" customWidth="1"/>
    <col min="1796" max="1796" width="10.5546875" style="1089" customWidth="1"/>
    <col min="1797" max="1797" width="10.33203125" style="1089" customWidth="1"/>
    <col min="1798" max="1798" width="10.5546875" style="1089" customWidth="1"/>
    <col min="1799" max="1799" width="9" style="1089" customWidth="1"/>
    <col min="1800" max="1800" width="11.5546875" style="1089" customWidth="1"/>
    <col min="1801" max="1801" width="9.5546875" style="1089" customWidth="1"/>
    <col min="1802" max="2048" width="8.88671875" style="1089"/>
    <col min="2049" max="2049" width="15.6640625" style="1089" customWidth="1"/>
    <col min="2050" max="2051" width="11.6640625" style="1089" customWidth="1"/>
    <col min="2052" max="2052" width="10.5546875" style="1089" customWidth="1"/>
    <col min="2053" max="2053" width="10.33203125" style="1089" customWidth="1"/>
    <col min="2054" max="2054" width="10.5546875" style="1089" customWidth="1"/>
    <col min="2055" max="2055" width="9" style="1089" customWidth="1"/>
    <col min="2056" max="2056" width="11.5546875" style="1089" customWidth="1"/>
    <col min="2057" max="2057" width="9.5546875" style="1089" customWidth="1"/>
    <col min="2058" max="2304" width="8.88671875" style="1089"/>
    <col min="2305" max="2305" width="15.6640625" style="1089" customWidth="1"/>
    <col min="2306" max="2307" width="11.6640625" style="1089" customWidth="1"/>
    <col min="2308" max="2308" width="10.5546875" style="1089" customWidth="1"/>
    <col min="2309" max="2309" width="10.33203125" style="1089" customWidth="1"/>
    <col min="2310" max="2310" width="10.5546875" style="1089" customWidth="1"/>
    <col min="2311" max="2311" width="9" style="1089" customWidth="1"/>
    <col min="2312" max="2312" width="11.5546875" style="1089" customWidth="1"/>
    <col min="2313" max="2313" width="9.5546875" style="1089" customWidth="1"/>
    <col min="2314" max="2560" width="8.88671875" style="1089"/>
    <col min="2561" max="2561" width="15.6640625" style="1089" customWidth="1"/>
    <col min="2562" max="2563" width="11.6640625" style="1089" customWidth="1"/>
    <col min="2564" max="2564" width="10.5546875" style="1089" customWidth="1"/>
    <col min="2565" max="2565" width="10.33203125" style="1089" customWidth="1"/>
    <col min="2566" max="2566" width="10.5546875" style="1089" customWidth="1"/>
    <col min="2567" max="2567" width="9" style="1089" customWidth="1"/>
    <col min="2568" max="2568" width="11.5546875" style="1089" customWidth="1"/>
    <col min="2569" max="2569" width="9.5546875" style="1089" customWidth="1"/>
    <col min="2570" max="2816" width="8.88671875" style="1089"/>
    <col min="2817" max="2817" width="15.6640625" style="1089" customWidth="1"/>
    <col min="2818" max="2819" width="11.6640625" style="1089" customWidth="1"/>
    <col min="2820" max="2820" width="10.5546875" style="1089" customWidth="1"/>
    <col min="2821" max="2821" width="10.33203125" style="1089" customWidth="1"/>
    <col min="2822" max="2822" width="10.5546875" style="1089" customWidth="1"/>
    <col min="2823" max="2823" width="9" style="1089" customWidth="1"/>
    <col min="2824" max="2824" width="11.5546875" style="1089" customWidth="1"/>
    <col min="2825" max="2825" width="9.5546875" style="1089" customWidth="1"/>
    <col min="2826" max="3072" width="8.88671875" style="1089"/>
    <col min="3073" max="3073" width="15.6640625" style="1089" customWidth="1"/>
    <col min="3074" max="3075" width="11.6640625" style="1089" customWidth="1"/>
    <col min="3076" max="3076" width="10.5546875" style="1089" customWidth="1"/>
    <col min="3077" max="3077" width="10.33203125" style="1089" customWidth="1"/>
    <col min="3078" max="3078" width="10.5546875" style="1089" customWidth="1"/>
    <col min="3079" max="3079" width="9" style="1089" customWidth="1"/>
    <col min="3080" max="3080" width="11.5546875" style="1089" customWidth="1"/>
    <col min="3081" max="3081" width="9.5546875" style="1089" customWidth="1"/>
    <col min="3082" max="3328" width="8.88671875" style="1089"/>
    <col min="3329" max="3329" width="15.6640625" style="1089" customWidth="1"/>
    <col min="3330" max="3331" width="11.6640625" style="1089" customWidth="1"/>
    <col min="3332" max="3332" width="10.5546875" style="1089" customWidth="1"/>
    <col min="3333" max="3333" width="10.33203125" style="1089" customWidth="1"/>
    <col min="3334" max="3334" width="10.5546875" style="1089" customWidth="1"/>
    <col min="3335" max="3335" width="9" style="1089" customWidth="1"/>
    <col min="3336" max="3336" width="11.5546875" style="1089" customWidth="1"/>
    <col min="3337" max="3337" width="9.5546875" style="1089" customWidth="1"/>
    <col min="3338" max="3584" width="8.88671875" style="1089"/>
    <col min="3585" max="3585" width="15.6640625" style="1089" customWidth="1"/>
    <col min="3586" max="3587" width="11.6640625" style="1089" customWidth="1"/>
    <col min="3588" max="3588" width="10.5546875" style="1089" customWidth="1"/>
    <col min="3589" max="3589" width="10.33203125" style="1089" customWidth="1"/>
    <col min="3590" max="3590" width="10.5546875" style="1089" customWidth="1"/>
    <col min="3591" max="3591" width="9" style="1089" customWidth="1"/>
    <col min="3592" max="3592" width="11.5546875" style="1089" customWidth="1"/>
    <col min="3593" max="3593" width="9.5546875" style="1089" customWidth="1"/>
    <col min="3594" max="3840" width="8.88671875" style="1089"/>
    <col min="3841" max="3841" width="15.6640625" style="1089" customWidth="1"/>
    <col min="3842" max="3843" width="11.6640625" style="1089" customWidth="1"/>
    <col min="3844" max="3844" width="10.5546875" style="1089" customWidth="1"/>
    <col min="3845" max="3845" width="10.33203125" style="1089" customWidth="1"/>
    <col min="3846" max="3846" width="10.5546875" style="1089" customWidth="1"/>
    <col min="3847" max="3847" width="9" style="1089" customWidth="1"/>
    <col min="3848" max="3848" width="11.5546875" style="1089" customWidth="1"/>
    <col min="3849" max="3849" width="9.5546875" style="1089" customWidth="1"/>
    <col min="3850" max="4096" width="8.88671875" style="1089"/>
    <col min="4097" max="4097" width="15.6640625" style="1089" customWidth="1"/>
    <col min="4098" max="4099" width="11.6640625" style="1089" customWidth="1"/>
    <col min="4100" max="4100" width="10.5546875" style="1089" customWidth="1"/>
    <col min="4101" max="4101" width="10.33203125" style="1089" customWidth="1"/>
    <col min="4102" max="4102" width="10.5546875" style="1089" customWidth="1"/>
    <col min="4103" max="4103" width="9" style="1089" customWidth="1"/>
    <col min="4104" max="4104" width="11.5546875" style="1089" customWidth="1"/>
    <col min="4105" max="4105" width="9.5546875" style="1089" customWidth="1"/>
    <col min="4106" max="4352" width="8.88671875" style="1089"/>
    <col min="4353" max="4353" width="15.6640625" style="1089" customWidth="1"/>
    <col min="4354" max="4355" width="11.6640625" style="1089" customWidth="1"/>
    <col min="4356" max="4356" width="10.5546875" style="1089" customWidth="1"/>
    <col min="4357" max="4357" width="10.33203125" style="1089" customWidth="1"/>
    <col min="4358" max="4358" width="10.5546875" style="1089" customWidth="1"/>
    <col min="4359" max="4359" width="9" style="1089" customWidth="1"/>
    <col min="4360" max="4360" width="11.5546875" style="1089" customWidth="1"/>
    <col min="4361" max="4361" width="9.5546875" style="1089" customWidth="1"/>
    <col min="4362" max="4608" width="8.88671875" style="1089"/>
    <col min="4609" max="4609" width="15.6640625" style="1089" customWidth="1"/>
    <col min="4610" max="4611" width="11.6640625" style="1089" customWidth="1"/>
    <col min="4612" max="4612" width="10.5546875" style="1089" customWidth="1"/>
    <col min="4613" max="4613" width="10.33203125" style="1089" customWidth="1"/>
    <col min="4614" max="4614" width="10.5546875" style="1089" customWidth="1"/>
    <col min="4615" max="4615" width="9" style="1089" customWidth="1"/>
    <col min="4616" max="4616" width="11.5546875" style="1089" customWidth="1"/>
    <col min="4617" max="4617" width="9.5546875" style="1089" customWidth="1"/>
    <col min="4618" max="4864" width="8.88671875" style="1089"/>
    <col min="4865" max="4865" width="15.6640625" style="1089" customWidth="1"/>
    <col min="4866" max="4867" width="11.6640625" style="1089" customWidth="1"/>
    <col min="4868" max="4868" width="10.5546875" style="1089" customWidth="1"/>
    <col min="4869" max="4869" width="10.33203125" style="1089" customWidth="1"/>
    <col min="4870" max="4870" width="10.5546875" style="1089" customWidth="1"/>
    <col min="4871" max="4871" width="9" style="1089" customWidth="1"/>
    <col min="4872" max="4872" width="11.5546875" style="1089" customWidth="1"/>
    <col min="4873" max="4873" width="9.5546875" style="1089" customWidth="1"/>
    <col min="4874" max="5120" width="8.88671875" style="1089"/>
    <col min="5121" max="5121" width="15.6640625" style="1089" customWidth="1"/>
    <col min="5122" max="5123" width="11.6640625" style="1089" customWidth="1"/>
    <col min="5124" max="5124" width="10.5546875" style="1089" customWidth="1"/>
    <col min="5125" max="5125" width="10.33203125" style="1089" customWidth="1"/>
    <col min="5126" max="5126" width="10.5546875" style="1089" customWidth="1"/>
    <col min="5127" max="5127" width="9" style="1089" customWidth="1"/>
    <col min="5128" max="5128" width="11.5546875" style="1089" customWidth="1"/>
    <col min="5129" max="5129" width="9.5546875" style="1089" customWidth="1"/>
    <col min="5130" max="5376" width="8.88671875" style="1089"/>
    <col min="5377" max="5377" width="15.6640625" style="1089" customWidth="1"/>
    <col min="5378" max="5379" width="11.6640625" style="1089" customWidth="1"/>
    <col min="5380" max="5380" width="10.5546875" style="1089" customWidth="1"/>
    <col min="5381" max="5381" width="10.33203125" style="1089" customWidth="1"/>
    <col min="5382" max="5382" width="10.5546875" style="1089" customWidth="1"/>
    <col min="5383" max="5383" width="9" style="1089" customWidth="1"/>
    <col min="5384" max="5384" width="11.5546875" style="1089" customWidth="1"/>
    <col min="5385" max="5385" width="9.5546875" style="1089" customWidth="1"/>
    <col min="5386" max="5632" width="8.88671875" style="1089"/>
    <col min="5633" max="5633" width="15.6640625" style="1089" customWidth="1"/>
    <col min="5634" max="5635" width="11.6640625" style="1089" customWidth="1"/>
    <col min="5636" max="5636" width="10.5546875" style="1089" customWidth="1"/>
    <col min="5637" max="5637" width="10.33203125" style="1089" customWidth="1"/>
    <col min="5638" max="5638" width="10.5546875" style="1089" customWidth="1"/>
    <col min="5639" max="5639" width="9" style="1089" customWidth="1"/>
    <col min="5640" max="5640" width="11.5546875" style="1089" customWidth="1"/>
    <col min="5641" max="5641" width="9.5546875" style="1089" customWidth="1"/>
    <col min="5642" max="5888" width="8.88671875" style="1089"/>
    <col min="5889" max="5889" width="15.6640625" style="1089" customWidth="1"/>
    <col min="5890" max="5891" width="11.6640625" style="1089" customWidth="1"/>
    <col min="5892" max="5892" width="10.5546875" style="1089" customWidth="1"/>
    <col min="5893" max="5893" width="10.33203125" style="1089" customWidth="1"/>
    <col min="5894" max="5894" width="10.5546875" style="1089" customWidth="1"/>
    <col min="5895" max="5895" width="9" style="1089" customWidth="1"/>
    <col min="5896" max="5896" width="11.5546875" style="1089" customWidth="1"/>
    <col min="5897" max="5897" width="9.5546875" style="1089" customWidth="1"/>
    <col min="5898" max="6144" width="8.88671875" style="1089"/>
    <col min="6145" max="6145" width="15.6640625" style="1089" customWidth="1"/>
    <col min="6146" max="6147" width="11.6640625" style="1089" customWidth="1"/>
    <col min="6148" max="6148" width="10.5546875" style="1089" customWidth="1"/>
    <col min="6149" max="6149" width="10.33203125" style="1089" customWidth="1"/>
    <col min="6150" max="6150" width="10.5546875" style="1089" customWidth="1"/>
    <col min="6151" max="6151" width="9" style="1089" customWidth="1"/>
    <col min="6152" max="6152" width="11.5546875" style="1089" customWidth="1"/>
    <col min="6153" max="6153" width="9.5546875" style="1089" customWidth="1"/>
    <col min="6154" max="6400" width="8.88671875" style="1089"/>
    <col min="6401" max="6401" width="15.6640625" style="1089" customWidth="1"/>
    <col min="6402" max="6403" width="11.6640625" style="1089" customWidth="1"/>
    <col min="6404" max="6404" width="10.5546875" style="1089" customWidth="1"/>
    <col min="6405" max="6405" width="10.33203125" style="1089" customWidth="1"/>
    <col min="6406" max="6406" width="10.5546875" style="1089" customWidth="1"/>
    <col min="6407" max="6407" width="9" style="1089" customWidth="1"/>
    <col min="6408" max="6408" width="11.5546875" style="1089" customWidth="1"/>
    <col min="6409" max="6409" width="9.5546875" style="1089" customWidth="1"/>
    <col min="6410" max="6656" width="8.88671875" style="1089"/>
    <col min="6657" max="6657" width="15.6640625" style="1089" customWidth="1"/>
    <col min="6658" max="6659" width="11.6640625" style="1089" customWidth="1"/>
    <col min="6660" max="6660" width="10.5546875" style="1089" customWidth="1"/>
    <col min="6661" max="6661" width="10.33203125" style="1089" customWidth="1"/>
    <col min="6662" max="6662" width="10.5546875" style="1089" customWidth="1"/>
    <col min="6663" max="6663" width="9" style="1089" customWidth="1"/>
    <col min="6664" max="6664" width="11.5546875" style="1089" customWidth="1"/>
    <col min="6665" max="6665" width="9.5546875" style="1089" customWidth="1"/>
    <col min="6666" max="6912" width="8.88671875" style="1089"/>
    <col min="6913" max="6913" width="15.6640625" style="1089" customWidth="1"/>
    <col min="6914" max="6915" width="11.6640625" style="1089" customWidth="1"/>
    <col min="6916" max="6916" width="10.5546875" style="1089" customWidth="1"/>
    <col min="6917" max="6917" width="10.33203125" style="1089" customWidth="1"/>
    <col min="6918" max="6918" width="10.5546875" style="1089" customWidth="1"/>
    <col min="6919" max="6919" width="9" style="1089" customWidth="1"/>
    <col min="6920" max="6920" width="11.5546875" style="1089" customWidth="1"/>
    <col min="6921" max="6921" width="9.5546875" style="1089" customWidth="1"/>
    <col min="6922" max="7168" width="8.88671875" style="1089"/>
    <col min="7169" max="7169" width="15.6640625" style="1089" customWidth="1"/>
    <col min="7170" max="7171" width="11.6640625" style="1089" customWidth="1"/>
    <col min="7172" max="7172" width="10.5546875" style="1089" customWidth="1"/>
    <col min="7173" max="7173" width="10.33203125" style="1089" customWidth="1"/>
    <col min="7174" max="7174" width="10.5546875" style="1089" customWidth="1"/>
    <col min="7175" max="7175" width="9" style="1089" customWidth="1"/>
    <col min="7176" max="7176" width="11.5546875" style="1089" customWidth="1"/>
    <col min="7177" max="7177" width="9.5546875" style="1089" customWidth="1"/>
    <col min="7178" max="7424" width="8.88671875" style="1089"/>
    <col min="7425" max="7425" width="15.6640625" style="1089" customWidth="1"/>
    <col min="7426" max="7427" width="11.6640625" style="1089" customWidth="1"/>
    <col min="7428" max="7428" width="10.5546875" style="1089" customWidth="1"/>
    <col min="7429" max="7429" width="10.33203125" style="1089" customWidth="1"/>
    <col min="7430" max="7430" width="10.5546875" style="1089" customWidth="1"/>
    <col min="7431" max="7431" width="9" style="1089" customWidth="1"/>
    <col min="7432" max="7432" width="11.5546875" style="1089" customWidth="1"/>
    <col min="7433" max="7433" width="9.5546875" style="1089" customWidth="1"/>
    <col min="7434" max="7680" width="8.88671875" style="1089"/>
    <col min="7681" max="7681" width="15.6640625" style="1089" customWidth="1"/>
    <col min="7682" max="7683" width="11.6640625" style="1089" customWidth="1"/>
    <col min="7684" max="7684" width="10.5546875" style="1089" customWidth="1"/>
    <col min="7685" max="7685" width="10.33203125" style="1089" customWidth="1"/>
    <col min="7686" max="7686" width="10.5546875" style="1089" customWidth="1"/>
    <col min="7687" max="7687" width="9" style="1089" customWidth="1"/>
    <col min="7688" max="7688" width="11.5546875" style="1089" customWidth="1"/>
    <col min="7689" max="7689" width="9.5546875" style="1089" customWidth="1"/>
    <col min="7690" max="7936" width="8.88671875" style="1089"/>
    <col min="7937" max="7937" width="15.6640625" style="1089" customWidth="1"/>
    <col min="7938" max="7939" width="11.6640625" style="1089" customWidth="1"/>
    <col min="7940" max="7940" width="10.5546875" style="1089" customWidth="1"/>
    <col min="7941" max="7941" width="10.33203125" style="1089" customWidth="1"/>
    <col min="7942" max="7942" width="10.5546875" style="1089" customWidth="1"/>
    <col min="7943" max="7943" width="9" style="1089" customWidth="1"/>
    <col min="7944" max="7944" width="11.5546875" style="1089" customWidth="1"/>
    <col min="7945" max="7945" width="9.5546875" style="1089" customWidth="1"/>
    <col min="7946" max="8192" width="8.88671875" style="1089"/>
    <col min="8193" max="8193" width="15.6640625" style="1089" customWidth="1"/>
    <col min="8194" max="8195" width="11.6640625" style="1089" customWidth="1"/>
    <col min="8196" max="8196" width="10.5546875" style="1089" customWidth="1"/>
    <col min="8197" max="8197" width="10.33203125" style="1089" customWidth="1"/>
    <col min="8198" max="8198" width="10.5546875" style="1089" customWidth="1"/>
    <col min="8199" max="8199" width="9" style="1089" customWidth="1"/>
    <col min="8200" max="8200" width="11.5546875" style="1089" customWidth="1"/>
    <col min="8201" max="8201" width="9.5546875" style="1089" customWidth="1"/>
    <col min="8202" max="8448" width="8.88671875" style="1089"/>
    <col min="8449" max="8449" width="15.6640625" style="1089" customWidth="1"/>
    <col min="8450" max="8451" width="11.6640625" style="1089" customWidth="1"/>
    <col min="8452" max="8452" width="10.5546875" style="1089" customWidth="1"/>
    <col min="8453" max="8453" width="10.33203125" style="1089" customWidth="1"/>
    <col min="8454" max="8454" width="10.5546875" style="1089" customWidth="1"/>
    <col min="8455" max="8455" width="9" style="1089" customWidth="1"/>
    <col min="8456" max="8456" width="11.5546875" style="1089" customWidth="1"/>
    <col min="8457" max="8457" width="9.5546875" style="1089" customWidth="1"/>
    <col min="8458" max="8704" width="8.88671875" style="1089"/>
    <col min="8705" max="8705" width="15.6640625" style="1089" customWidth="1"/>
    <col min="8706" max="8707" width="11.6640625" style="1089" customWidth="1"/>
    <col min="8708" max="8708" width="10.5546875" style="1089" customWidth="1"/>
    <col min="8709" max="8709" width="10.33203125" style="1089" customWidth="1"/>
    <col min="8710" max="8710" width="10.5546875" style="1089" customWidth="1"/>
    <col min="8711" max="8711" width="9" style="1089" customWidth="1"/>
    <col min="8712" max="8712" width="11.5546875" style="1089" customWidth="1"/>
    <col min="8713" max="8713" width="9.5546875" style="1089" customWidth="1"/>
    <col min="8714" max="8960" width="8.88671875" style="1089"/>
    <col min="8961" max="8961" width="15.6640625" style="1089" customWidth="1"/>
    <col min="8962" max="8963" width="11.6640625" style="1089" customWidth="1"/>
    <col min="8964" max="8964" width="10.5546875" style="1089" customWidth="1"/>
    <col min="8965" max="8965" width="10.33203125" style="1089" customWidth="1"/>
    <col min="8966" max="8966" width="10.5546875" style="1089" customWidth="1"/>
    <col min="8967" max="8967" width="9" style="1089" customWidth="1"/>
    <col min="8968" max="8968" width="11.5546875" style="1089" customWidth="1"/>
    <col min="8969" max="8969" width="9.5546875" style="1089" customWidth="1"/>
    <col min="8970" max="9216" width="8.88671875" style="1089"/>
    <col min="9217" max="9217" width="15.6640625" style="1089" customWidth="1"/>
    <col min="9218" max="9219" width="11.6640625" style="1089" customWidth="1"/>
    <col min="9220" max="9220" width="10.5546875" style="1089" customWidth="1"/>
    <col min="9221" max="9221" width="10.33203125" style="1089" customWidth="1"/>
    <col min="9222" max="9222" width="10.5546875" style="1089" customWidth="1"/>
    <col min="9223" max="9223" width="9" style="1089" customWidth="1"/>
    <col min="9224" max="9224" width="11.5546875" style="1089" customWidth="1"/>
    <col min="9225" max="9225" width="9.5546875" style="1089" customWidth="1"/>
    <col min="9226" max="9472" width="8.88671875" style="1089"/>
    <col min="9473" max="9473" width="15.6640625" style="1089" customWidth="1"/>
    <col min="9474" max="9475" width="11.6640625" style="1089" customWidth="1"/>
    <col min="9476" max="9476" width="10.5546875" style="1089" customWidth="1"/>
    <col min="9477" max="9477" width="10.33203125" style="1089" customWidth="1"/>
    <col min="9478" max="9478" width="10.5546875" style="1089" customWidth="1"/>
    <col min="9479" max="9479" width="9" style="1089" customWidth="1"/>
    <col min="9480" max="9480" width="11.5546875" style="1089" customWidth="1"/>
    <col min="9481" max="9481" width="9.5546875" style="1089" customWidth="1"/>
    <col min="9482" max="9728" width="8.88671875" style="1089"/>
    <col min="9729" max="9729" width="15.6640625" style="1089" customWidth="1"/>
    <col min="9730" max="9731" width="11.6640625" style="1089" customWidth="1"/>
    <col min="9732" max="9732" width="10.5546875" style="1089" customWidth="1"/>
    <col min="9733" max="9733" width="10.33203125" style="1089" customWidth="1"/>
    <col min="9734" max="9734" width="10.5546875" style="1089" customWidth="1"/>
    <col min="9735" max="9735" width="9" style="1089" customWidth="1"/>
    <col min="9736" max="9736" width="11.5546875" style="1089" customWidth="1"/>
    <col min="9737" max="9737" width="9.5546875" style="1089" customWidth="1"/>
    <col min="9738" max="9984" width="8.88671875" style="1089"/>
    <col min="9985" max="9985" width="15.6640625" style="1089" customWidth="1"/>
    <col min="9986" max="9987" width="11.6640625" style="1089" customWidth="1"/>
    <col min="9988" max="9988" width="10.5546875" style="1089" customWidth="1"/>
    <col min="9989" max="9989" width="10.33203125" style="1089" customWidth="1"/>
    <col min="9990" max="9990" width="10.5546875" style="1089" customWidth="1"/>
    <col min="9991" max="9991" width="9" style="1089" customWidth="1"/>
    <col min="9992" max="9992" width="11.5546875" style="1089" customWidth="1"/>
    <col min="9993" max="9993" width="9.5546875" style="1089" customWidth="1"/>
    <col min="9994" max="10240" width="8.88671875" style="1089"/>
    <col min="10241" max="10241" width="15.6640625" style="1089" customWidth="1"/>
    <col min="10242" max="10243" width="11.6640625" style="1089" customWidth="1"/>
    <col min="10244" max="10244" width="10.5546875" style="1089" customWidth="1"/>
    <col min="10245" max="10245" width="10.33203125" style="1089" customWidth="1"/>
    <col min="10246" max="10246" width="10.5546875" style="1089" customWidth="1"/>
    <col min="10247" max="10247" width="9" style="1089" customWidth="1"/>
    <col min="10248" max="10248" width="11.5546875" style="1089" customWidth="1"/>
    <col min="10249" max="10249" width="9.5546875" style="1089" customWidth="1"/>
    <col min="10250" max="10496" width="8.88671875" style="1089"/>
    <col min="10497" max="10497" width="15.6640625" style="1089" customWidth="1"/>
    <col min="10498" max="10499" width="11.6640625" style="1089" customWidth="1"/>
    <col min="10500" max="10500" width="10.5546875" style="1089" customWidth="1"/>
    <col min="10501" max="10501" width="10.33203125" style="1089" customWidth="1"/>
    <col min="10502" max="10502" width="10.5546875" style="1089" customWidth="1"/>
    <col min="10503" max="10503" width="9" style="1089" customWidth="1"/>
    <col min="10504" max="10504" width="11.5546875" style="1089" customWidth="1"/>
    <col min="10505" max="10505" width="9.5546875" style="1089" customWidth="1"/>
    <col min="10506" max="10752" width="8.88671875" style="1089"/>
    <col min="10753" max="10753" width="15.6640625" style="1089" customWidth="1"/>
    <col min="10754" max="10755" width="11.6640625" style="1089" customWidth="1"/>
    <col min="10756" max="10756" width="10.5546875" style="1089" customWidth="1"/>
    <col min="10757" max="10757" width="10.33203125" style="1089" customWidth="1"/>
    <col min="10758" max="10758" width="10.5546875" style="1089" customWidth="1"/>
    <col min="10759" max="10759" width="9" style="1089" customWidth="1"/>
    <col min="10760" max="10760" width="11.5546875" style="1089" customWidth="1"/>
    <col min="10761" max="10761" width="9.5546875" style="1089" customWidth="1"/>
    <col min="10762" max="11008" width="8.88671875" style="1089"/>
    <col min="11009" max="11009" width="15.6640625" style="1089" customWidth="1"/>
    <col min="11010" max="11011" width="11.6640625" style="1089" customWidth="1"/>
    <col min="11012" max="11012" width="10.5546875" style="1089" customWidth="1"/>
    <col min="11013" max="11013" width="10.33203125" style="1089" customWidth="1"/>
    <col min="11014" max="11014" width="10.5546875" style="1089" customWidth="1"/>
    <col min="11015" max="11015" width="9" style="1089" customWidth="1"/>
    <col min="11016" max="11016" width="11.5546875" style="1089" customWidth="1"/>
    <col min="11017" max="11017" width="9.5546875" style="1089" customWidth="1"/>
    <col min="11018" max="11264" width="8.88671875" style="1089"/>
    <col min="11265" max="11265" width="15.6640625" style="1089" customWidth="1"/>
    <col min="11266" max="11267" width="11.6640625" style="1089" customWidth="1"/>
    <col min="11268" max="11268" width="10.5546875" style="1089" customWidth="1"/>
    <col min="11269" max="11269" width="10.33203125" style="1089" customWidth="1"/>
    <col min="11270" max="11270" width="10.5546875" style="1089" customWidth="1"/>
    <col min="11271" max="11271" width="9" style="1089" customWidth="1"/>
    <col min="11272" max="11272" width="11.5546875" style="1089" customWidth="1"/>
    <col min="11273" max="11273" width="9.5546875" style="1089" customWidth="1"/>
    <col min="11274" max="11520" width="8.88671875" style="1089"/>
    <col min="11521" max="11521" width="15.6640625" style="1089" customWidth="1"/>
    <col min="11522" max="11523" width="11.6640625" style="1089" customWidth="1"/>
    <col min="11524" max="11524" width="10.5546875" style="1089" customWidth="1"/>
    <col min="11525" max="11525" width="10.33203125" style="1089" customWidth="1"/>
    <col min="11526" max="11526" width="10.5546875" style="1089" customWidth="1"/>
    <col min="11527" max="11527" width="9" style="1089" customWidth="1"/>
    <col min="11528" max="11528" width="11.5546875" style="1089" customWidth="1"/>
    <col min="11529" max="11529" width="9.5546875" style="1089" customWidth="1"/>
    <col min="11530" max="11776" width="8.88671875" style="1089"/>
    <col min="11777" max="11777" width="15.6640625" style="1089" customWidth="1"/>
    <col min="11778" max="11779" width="11.6640625" style="1089" customWidth="1"/>
    <col min="11780" max="11780" width="10.5546875" style="1089" customWidth="1"/>
    <col min="11781" max="11781" width="10.33203125" style="1089" customWidth="1"/>
    <col min="11782" max="11782" width="10.5546875" style="1089" customWidth="1"/>
    <col min="11783" max="11783" width="9" style="1089" customWidth="1"/>
    <col min="11784" max="11784" width="11.5546875" style="1089" customWidth="1"/>
    <col min="11785" max="11785" width="9.5546875" style="1089" customWidth="1"/>
    <col min="11786" max="12032" width="8.88671875" style="1089"/>
    <col min="12033" max="12033" width="15.6640625" style="1089" customWidth="1"/>
    <col min="12034" max="12035" width="11.6640625" style="1089" customWidth="1"/>
    <col min="12036" max="12036" width="10.5546875" style="1089" customWidth="1"/>
    <col min="12037" max="12037" width="10.33203125" style="1089" customWidth="1"/>
    <col min="12038" max="12038" width="10.5546875" style="1089" customWidth="1"/>
    <col min="12039" max="12039" width="9" style="1089" customWidth="1"/>
    <col min="12040" max="12040" width="11.5546875" style="1089" customWidth="1"/>
    <col min="12041" max="12041" width="9.5546875" style="1089" customWidth="1"/>
    <col min="12042" max="12288" width="8.88671875" style="1089"/>
    <col min="12289" max="12289" width="15.6640625" style="1089" customWidth="1"/>
    <col min="12290" max="12291" width="11.6640625" style="1089" customWidth="1"/>
    <col min="12292" max="12292" width="10.5546875" style="1089" customWidth="1"/>
    <col min="12293" max="12293" width="10.33203125" style="1089" customWidth="1"/>
    <col min="12294" max="12294" width="10.5546875" style="1089" customWidth="1"/>
    <col min="12295" max="12295" width="9" style="1089" customWidth="1"/>
    <col min="12296" max="12296" width="11.5546875" style="1089" customWidth="1"/>
    <col min="12297" max="12297" width="9.5546875" style="1089" customWidth="1"/>
    <col min="12298" max="12544" width="8.88671875" style="1089"/>
    <col min="12545" max="12545" width="15.6640625" style="1089" customWidth="1"/>
    <col min="12546" max="12547" width="11.6640625" style="1089" customWidth="1"/>
    <col min="12548" max="12548" width="10.5546875" style="1089" customWidth="1"/>
    <col min="12549" max="12549" width="10.33203125" style="1089" customWidth="1"/>
    <col min="12550" max="12550" width="10.5546875" style="1089" customWidth="1"/>
    <col min="12551" max="12551" width="9" style="1089" customWidth="1"/>
    <col min="12552" max="12552" width="11.5546875" style="1089" customWidth="1"/>
    <col min="12553" max="12553" width="9.5546875" style="1089" customWidth="1"/>
    <col min="12554" max="12800" width="8.88671875" style="1089"/>
    <col min="12801" max="12801" width="15.6640625" style="1089" customWidth="1"/>
    <col min="12802" max="12803" width="11.6640625" style="1089" customWidth="1"/>
    <col min="12804" max="12804" width="10.5546875" style="1089" customWidth="1"/>
    <col min="12805" max="12805" width="10.33203125" style="1089" customWidth="1"/>
    <col min="12806" max="12806" width="10.5546875" style="1089" customWidth="1"/>
    <col min="12807" max="12807" width="9" style="1089" customWidth="1"/>
    <col min="12808" max="12808" width="11.5546875" style="1089" customWidth="1"/>
    <col min="12809" max="12809" width="9.5546875" style="1089" customWidth="1"/>
    <col min="12810" max="13056" width="8.88671875" style="1089"/>
    <col min="13057" max="13057" width="15.6640625" style="1089" customWidth="1"/>
    <col min="13058" max="13059" width="11.6640625" style="1089" customWidth="1"/>
    <col min="13060" max="13060" width="10.5546875" style="1089" customWidth="1"/>
    <col min="13061" max="13061" width="10.33203125" style="1089" customWidth="1"/>
    <col min="13062" max="13062" width="10.5546875" style="1089" customWidth="1"/>
    <col min="13063" max="13063" width="9" style="1089" customWidth="1"/>
    <col min="13064" max="13064" width="11.5546875" style="1089" customWidth="1"/>
    <col min="13065" max="13065" width="9.5546875" style="1089" customWidth="1"/>
    <col min="13066" max="13312" width="8.88671875" style="1089"/>
    <col min="13313" max="13313" width="15.6640625" style="1089" customWidth="1"/>
    <col min="13314" max="13315" width="11.6640625" style="1089" customWidth="1"/>
    <col min="13316" max="13316" width="10.5546875" style="1089" customWidth="1"/>
    <col min="13317" max="13317" width="10.33203125" style="1089" customWidth="1"/>
    <col min="13318" max="13318" width="10.5546875" style="1089" customWidth="1"/>
    <col min="13319" max="13319" width="9" style="1089" customWidth="1"/>
    <col min="13320" max="13320" width="11.5546875" style="1089" customWidth="1"/>
    <col min="13321" max="13321" width="9.5546875" style="1089" customWidth="1"/>
    <col min="13322" max="13568" width="8.88671875" style="1089"/>
    <col min="13569" max="13569" width="15.6640625" style="1089" customWidth="1"/>
    <col min="13570" max="13571" width="11.6640625" style="1089" customWidth="1"/>
    <col min="13572" max="13572" width="10.5546875" style="1089" customWidth="1"/>
    <col min="13573" max="13573" width="10.33203125" style="1089" customWidth="1"/>
    <col min="13574" max="13574" width="10.5546875" style="1089" customWidth="1"/>
    <col min="13575" max="13575" width="9" style="1089" customWidth="1"/>
    <col min="13576" max="13576" width="11.5546875" style="1089" customWidth="1"/>
    <col min="13577" max="13577" width="9.5546875" style="1089" customWidth="1"/>
    <col min="13578" max="13824" width="8.88671875" style="1089"/>
    <col min="13825" max="13825" width="15.6640625" style="1089" customWidth="1"/>
    <col min="13826" max="13827" width="11.6640625" style="1089" customWidth="1"/>
    <col min="13828" max="13828" width="10.5546875" style="1089" customWidth="1"/>
    <col min="13829" max="13829" width="10.33203125" style="1089" customWidth="1"/>
    <col min="13830" max="13830" width="10.5546875" style="1089" customWidth="1"/>
    <col min="13831" max="13831" width="9" style="1089" customWidth="1"/>
    <col min="13832" max="13832" width="11.5546875" style="1089" customWidth="1"/>
    <col min="13833" max="13833" width="9.5546875" style="1089" customWidth="1"/>
    <col min="13834" max="14080" width="8.88671875" style="1089"/>
    <col min="14081" max="14081" width="15.6640625" style="1089" customWidth="1"/>
    <col min="14082" max="14083" width="11.6640625" style="1089" customWidth="1"/>
    <col min="14084" max="14084" width="10.5546875" style="1089" customWidth="1"/>
    <col min="14085" max="14085" width="10.33203125" style="1089" customWidth="1"/>
    <col min="14086" max="14086" width="10.5546875" style="1089" customWidth="1"/>
    <col min="14087" max="14087" width="9" style="1089" customWidth="1"/>
    <col min="14088" max="14088" width="11.5546875" style="1089" customWidth="1"/>
    <col min="14089" max="14089" width="9.5546875" style="1089" customWidth="1"/>
    <col min="14090" max="14336" width="8.88671875" style="1089"/>
    <col min="14337" max="14337" width="15.6640625" style="1089" customWidth="1"/>
    <col min="14338" max="14339" width="11.6640625" style="1089" customWidth="1"/>
    <col min="14340" max="14340" width="10.5546875" style="1089" customWidth="1"/>
    <col min="14341" max="14341" width="10.33203125" style="1089" customWidth="1"/>
    <col min="14342" max="14342" width="10.5546875" style="1089" customWidth="1"/>
    <col min="14343" max="14343" width="9" style="1089" customWidth="1"/>
    <col min="14344" max="14344" width="11.5546875" style="1089" customWidth="1"/>
    <col min="14345" max="14345" width="9.5546875" style="1089" customWidth="1"/>
    <col min="14346" max="14592" width="8.88671875" style="1089"/>
    <col min="14593" max="14593" width="15.6640625" style="1089" customWidth="1"/>
    <col min="14594" max="14595" width="11.6640625" style="1089" customWidth="1"/>
    <col min="14596" max="14596" width="10.5546875" style="1089" customWidth="1"/>
    <col min="14597" max="14597" width="10.33203125" style="1089" customWidth="1"/>
    <col min="14598" max="14598" width="10.5546875" style="1089" customWidth="1"/>
    <col min="14599" max="14599" width="9" style="1089" customWidth="1"/>
    <col min="14600" max="14600" width="11.5546875" style="1089" customWidth="1"/>
    <col min="14601" max="14601" width="9.5546875" style="1089" customWidth="1"/>
    <col min="14602" max="14848" width="8.88671875" style="1089"/>
    <col min="14849" max="14849" width="15.6640625" style="1089" customWidth="1"/>
    <col min="14850" max="14851" width="11.6640625" style="1089" customWidth="1"/>
    <col min="14852" max="14852" width="10.5546875" style="1089" customWidth="1"/>
    <col min="14853" max="14853" width="10.33203125" style="1089" customWidth="1"/>
    <col min="14854" max="14854" width="10.5546875" style="1089" customWidth="1"/>
    <col min="14855" max="14855" width="9" style="1089" customWidth="1"/>
    <col min="14856" max="14856" width="11.5546875" style="1089" customWidth="1"/>
    <col min="14857" max="14857" width="9.5546875" style="1089" customWidth="1"/>
    <col min="14858" max="15104" width="8.88671875" style="1089"/>
    <col min="15105" max="15105" width="15.6640625" style="1089" customWidth="1"/>
    <col min="15106" max="15107" width="11.6640625" style="1089" customWidth="1"/>
    <col min="15108" max="15108" width="10.5546875" style="1089" customWidth="1"/>
    <col min="15109" max="15109" width="10.33203125" style="1089" customWidth="1"/>
    <col min="15110" max="15110" width="10.5546875" style="1089" customWidth="1"/>
    <col min="15111" max="15111" width="9" style="1089" customWidth="1"/>
    <col min="15112" max="15112" width="11.5546875" style="1089" customWidth="1"/>
    <col min="15113" max="15113" width="9.5546875" style="1089" customWidth="1"/>
    <col min="15114" max="15360" width="8.88671875" style="1089"/>
    <col min="15361" max="15361" width="15.6640625" style="1089" customWidth="1"/>
    <col min="15362" max="15363" width="11.6640625" style="1089" customWidth="1"/>
    <col min="15364" max="15364" width="10.5546875" style="1089" customWidth="1"/>
    <col min="15365" max="15365" width="10.33203125" style="1089" customWidth="1"/>
    <col min="15366" max="15366" width="10.5546875" style="1089" customWidth="1"/>
    <col min="15367" max="15367" width="9" style="1089" customWidth="1"/>
    <col min="15368" max="15368" width="11.5546875" style="1089" customWidth="1"/>
    <col min="15369" max="15369" width="9.5546875" style="1089" customWidth="1"/>
    <col min="15370" max="15616" width="8.88671875" style="1089"/>
    <col min="15617" max="15617" width="15.6640625" style="1089" customWidth="1"/>
    <col min="15618" max="15619" width="11.6640625" style="1089" customWidth="1"/>
    <col min="15620" max="15620" width="10.5546875" style="1089" customWidth="1"/>
    <col min="15621" max="15621" width="10.33203125" style="1089" customWidth="1"/>
    <col min="15622" max="15622" width="10.5546875" style="1089" customWidth="1"/>
    <col min="15623" max="15623" width="9" style="1089" customWidth="1"/>
    <col min="15624" max="15624" width="11.5546875" style="1089" customWidth="1"/>
    <col min="15625" max="15625" width="9.5546875" style="1089" customWidth="1"/>
    <col min="15626" max="15872" width="8.88671875" style="1089"/>
    <col min="15873" max="15873" width="15.6640625" style="1089" customWidth="1"/>
    <col min="15874" max="15875" width="11.6640625" style="1089" customWidth="1"/>
    <col min="15876" max="15876" width="10.5546875" style="1089" customWidth="1"/>
    <col min="15877" max="15877" width="10.33203125" style="1089" customWidth="1"/>
    <col min="15878" max="15878" width="10.5546875" style="1089" customWidth="1"/>
    <col min="15879" max="15879" width="9" style="1089" customWidth="1"/>
    <col min="15880" max="15880" width="11.5546875" style="1089" customWidth="1"/>
    <col min="15881" max="15881" width="9.5546875" style="1089" customWidth="1"/>
    <col min="15882" max="16128" width="8.88671875" style="1089"/>
    <col min="16129" max="16129" width="15.6640625" style="1089" customWidth="1"/>
    <col min="16130" max="16131" width="11.6640625" style="1089" customWidth="1"/>
    <col min="16132" max="16132" width="10.5546875" style="1089" customWidth="1"/>
    <col min="16133" max="16133" width="10.33203125" style="1089" customWidth="1"/>
    <col min="16134" max="16134" width="10.5546875" style="1089" customWidth="1"/>
    <col min="16135" max="16135" width="9" style="1089" customWidth="1"/>
    <col min="16136" max="16136" width="11.5546875" style="1089" customWidth="1"/>
    <col min="16137" max="16137" width="9.5546875" style="1089" customWidth="1"/>
    <col min="16138" max="16384" width="8.88671875" style="1089"/>
  </cols>
  <sheetData>
    <row r="1" spans="1:11" s="2065" customFormat="1" ht="16.2" thickBot="1">
      <c r="A1" s="2064" t="s">
        <v>1126</v>
      </c>
      <c r="B1" s="2064"/>
      <c r="C1" s="2064"/>
      <c r="D1" s="2064"/>
      <c r="F1" s="2066"/>
      <c r="G1" s="2067"/>
      <c r="H1" s="2067"/>
      <c r="I1" s="2067"/>
      <c r="J1" s="2068"/>
    </row>
    <row r="2" spans="1:11" ht="48.6" thickBot="1">
      <c r="A2" s="1117" t="s">
        <v>1127</v>
      </c>
      <c r="B2" s="1118" t="s">
        <v>1128</v>
      </c>
      <c r="C2" s="1118" t="s">
        <v>1129</v>
      </c>
      <c r="D2" s="1118" t="s">
        <v>1130</v>
      </c>
      <c r="E2" s="1118" t="s">
        <v>1131</v>
      </c>
      <c r="F2" s="1118" t="s">
        <v>1132</v>
      </c>
      <c r="G2" s="1118" t="s">
        <v>1133</v>
      </c>
      <c r="H2" s="1118" t="s">
        <v>1134</v>
      </c>
      <c r="I2" s="1119" t="s">
        <v>1135</v>
      </c>
    </row>
    <row r="3" spans="1:11" ht="14.4">
      <c r="A3" s="1959" t="s">
        <v>1136</v>
      </c>
      <c r="B3" s="1959"/>
      <c r="C3" s="1113"/>
      <c r="D3" s="1113"/>
      <c r="E3" s="1113"/>
      <c r="F3" s="1113"/>
      <c r="G3" s="1113"/>
      <c r="H3" s="1113"/>
      <c r="I3" s="1114"/>
    </row>
    <row r="4" spans="1:11" ht="14.4">
      <c r="A4" s="1090">
        <v>40482</v>
      </c>
      <c r="B4" s="1091"/>
      <c r="C4" s="1092"/>
      <c r="D4" s="1093"/>
      <c r="E4" s="1275">
        <v>0.67</v>
      </c>
      <c r="F4" s="1275">
        <v>1.48</v>
      </c>
      <c r="G4" s="1093">
        <f>F4-E4</f>
        <v>0.80999999999999994</v>
      </c>
      <c r="H4" s="1093">
        <f>G4/15</f>
        <v>5.3999999999999999E-2</v>
      </c>
      <c r="I4" s="1093">
        <f>G4</f>
        <v>0.80999999999999994</v>
      </c>
      <c r="J4" s="1094"/>
      <c r="K4" s="1095"/>
    </row>
    <row r="5" spans="1:11" ht="27.6">
      <c r="A5" s="1096" t="s">
        <v>1137</v>
      </c>
      <c r="B5" s="1274">
        <v>133433</v>
      </c>
      <c r="C5" s="1274">
        <v>169196</v>
      </c>
      <c r="D5" s="1097">
        <f>IF((B5+C5)&gt;0,((B5*E5)+(C5*F5))/(B5+C5),0)</f>
        <v>1.0736699225784707</v>
      </c>
      <c r="E5" s="1276">
        <v>0.65100000000000002</v>
      </c>
      <c r="F5" s="1275">
        <v>1.407</v>
      </c>
      <c r="G5" s="1093">
        <f t="shared" ref="G5:G19" si="0">F5-E5</f>
        <v>0.75600000000000001</v>
      </c>
      <c r="H5" s="1093">
        <f>H4</f>
        <v>5.3999999999999999E-2</v>
      </c>
      <c r="I5" s="1093">
        <f>I4-H5</f>
        <v>0.75599999999999989</v>
      </c>
      <c r="J5" s="1094"/>
      <c r="K5" s="1095"/>
    </row>
    <row r="6" spans="1:11" ht="27.6">
      <c r="A6" s="1096" t="s">
        <v>1138</v>
      </c>
      <c r="B6" s="1274">
        <v>236235</v>
      </c>
      <c r="C6" s="1274">
        <v>240740</v>
      </c>
      <c r="D6" s="1097">
        <f>IF((B6+C6)&gt;0,((B6*E6)+(C6*F6))/(B6+C6),0)</f>
        <v>1.3543151737512449</v>
      </c>
      <c r="E6" s="1276">
        <v>1</v>
      </c>
      <c r="F6" s="1275">
        <v>1.702</v>
      </c>
      <c r="G6" s="1093">
        <f t="shared" si="0"/>
        <v>0.70199999999999996</v>
      </c>
      <c r="H6" s="1093">
        <f t="shared" ref="H6:H19" si="1">H5</f>
        <v>5.3999999999999999E-2</v>
      </c>
      <c r="I6" s="1093">
        <f t="shared" ref="I6:I19" si="2">I5-H6</f>
        <v>0.70199999999999985</v>
      </c>
      <c r="J6" s="1094"/>
      <c r="K6" s="1095"/>
    </row>
    <row r="7" spans="1:11" ht="27.6">
      <c r="A7" s="1096" t="s">
        <v>1139</v>
      </c>
      <c r="B7" s="1274">
        <v>236235</v>
      </c>
      <c r="C7" s="1274">
        <v>240740</v>
      </c>
      <c r="D7" s="1097">
        <f>IF((B7+C7)&gt;0,((B7*E7)+(C7*F7))/(B7+C7),0)</f>
        <v>1.3590601603857644</v>
      </c>
      <c r="E7" s="1276">
        <v>1.032</v>
      </c>
      <c r="F7" s="1275">
        <v>1.68</v>
      </c>
      <c r="G7" s="1093">
        <f t="shared" si="0"/>
        <v>0.64799999999999991</v>
      </c>
      <c r="H7" s="1093">
        <f t="shared" si="1"/>
        <v>5.3999999999999999E-2</v>
      </c>
      <c r="I7" s="1093">
        <f t="shared" si="2"/>
        <v>0.6479999999999998</v>
      </c>
      <c r="J7" s="1094"/>
      <c r="K7" s="1095"/>
    </row>
    <row r="8" spans="1:11" ht="27.6">
      <c r="A8" s="1096" t="s">
        <v>1190</v>
      </c>
      <c r="B8" s="1274">
        <v>236235</v>
      </c>
      <c r="C8" s="1274">
        <v>240740</v>
      </c>
      <c r="D8" s="1098">
        <f>IF((B8+C8)&gt;0,((B8*E8)+(C8*F8))/(B8+C8),0)</f>
        <v>1.6480696053252266</v>
      </c>
      <c r="E8" s="1277">
        <v>1.32</v>
      </c>
      <c r="F8" s="1278">
        <v>1.97</v>
      </c>
      <c r="G8" s="1099">
        <f t="shared" si="0"/>
        <v>0.64999999999999991</v>
      </c>
      <c r="H8" s="1278">
        <v>0</v>
      </c>
      <c r="I8" s="1099">
        <f t="shared" si="2"/>
        <v>0.6479999999999998</v>
      </c>
      <c r="J8" s="1094"/>
      <c r="K8" s="1095"/>
    </row>
    <row r="9" spans="1:11" ht="15.6">
      <c r="A9" s="1096" t="s">
        <v>1140</v>
      </c>
      <c r="B9" s="1100">
        <f>'1. OST-MÜÜK'!X24</f>
        <v>243983.25</v>
      </c>
      <c r="C9" s="1100">
        <f>'1. OST-MÜÜK'!X26</f>
        <v>207669.13699999999</v>
      </c>
      <c r="D9" s="1101">
        <f>'10. Teenuste hinnad'!K4</f>
        <v>2.5602347150193236</v>
      </c>
      <c r="E9" s="1102">
        <f t="shared" ref="E9:E19" si="3">IF((B9+C9)&gt;0,(D9*(B9+C9)-C9*I9)/(B9+C9),0)</f>
        <v>2.287114344290496</v>
      </c>
      <c r="F9" s="1103">
        <f t="shared" ref="F9:F19" si="4">I9+E9</f>
        <v>2.8811143442904958</v>
      </c>
      <c r="G9" s="1099">
        <f t="shared" si="0"/>
        <v>0.59399999999999986</v>
      </c>
      <c r="H9" s="1099">
        <f>H7</f>
        <v>5.3999999999999999E-2</v>
      </c>
      <c r="I9" s="1099">
        <f t="shared" si="2"/>
        <v>0.59399999999999975</v>
      </c>
      <c r="J9" s="1094"/>
      <c r="K9" s="1095"/>
    </row>
    <row r="10" spans="1:11">
      <c r="A10" s="1096" t="s">
        <v>1141</v>
      </c>
      <c r="B10" s="1104">
        <f t="shared" ref="B10:D19" si="5">B9</f>
        <v>243983.25</v>
      </c>
      <c r="C10" s="1104">
        <f t="shared" si="5"/>
        <v>207669.13699999999</v>
      </c>
      <c r="D10" s="1098">
        <f t="shared" si="5"/>
        <v>2.5602347150193236</v>
      </c>
      <c r="E10" s="1105">
        <f t="shared" si="3"/>
        <v>2.3119434689022076</v>
      </c>
      <c r="F10" s="1099">
        <f t="shared" si="4"/>
        <v>2.8519434689022072</v>
      </c>
      <c r="G10" s="1099">
        <f t="shared" si="0"/>
        <v>0.53999999999999959</v>
      </c>
      <c r="H10" s="1099">
        <f t="shared" si="1"/>
        <v>5.3999999999999999E-2</v>
      </c>
      <c r="I10" s="1099">
        <f t="shared" si="2"/>
        <v>0.5399999999999997</v>
      </c>
      <c r="J10" s="1094"/>
      <c r="K10" s="1095"/>
    </row>
    <row r="11" spans="1:11">
      <c r="A11" s="1096" t="s">
        <v>1142</v>
      </c>
      <c r="B11" s="1104">
        <f t="shared" si="5"/>
        <v>243983.25</v>
      </c>
      <c r="C11" s="1104">
        <f t="shared" si="5"/>
        <v>207669.13699999999</v>
      </c>
      <c r="D11" s="1098">
        <f t="shared" si="5"/>
        <v>2.5602347150193236</v>
      </c>
      <c r="E11" s="1105">
        <f t="shared" si="3"/>
        <v>2.3367725935139192</v>
      </c>
      <c r="F11" s="1099">
        <f t="shared" si="4"/>
        <v>2.822772593513919</v>
      </c>
      <c r="G11" s="1099">
        <f t="shared" si="0"/>
        <v>0.48599999999999977</v>
      </c>
      <c r="H11" s="1099">
        <f t="shared" si="1"/>
        <v>5.3999999999999999E-2</v>
      </c>
      <c r="I11" s="1099">
        <f t="shared" si="2"/>
        <v>0.48599999999999971</v>
      </c>
      <c r="J11" s="1095"/>
      <c r="K11" s="1095"/>
    </row>
    <row r="12" spans="1:11">
      <c r="A12" s="1096" t="s">
        <v>1143</v>
      </c>
      <c r="B12" s="1104">
        <f t="shared" si="5"/>
        <v>243983.25</v>
      </c>
      <c r="C12" s="1104">
        <f t="shared" si="5"/>
        <v>207669.13699999999</v>
      </c>
      <c r="D12" s="1098">
        <f t="shared" si="5"/>
        <v>2.5602347150193236</v>
      </c>
      <c r="E12" s="1105">
        <f t="shared" si="3"/>
        <v>2.3616017181256308</v>
      </c>
      <c r="F12" s="1099">
        <f t="shared" si="4"/>
        <v>2.7936017181256307</v>
      </c>
      <c r="G12" s="1099">
        <f t="shared" si="0"/>
        <v>0.43199999999999994</v>
      </c>
      <c r="H12" s="1099">
        <f t="shared" si="1"/>
        <v>5.3999999999999999E-2</v>
      </c>
      <c r="I12" s="1099">
        <f t="shared" si="2"/>
        <v>0.43199999999999972</v>
      </c>
      <c r="J12" s="1095"/>
      <c r="K12" s="1095"/>
    </row>
    <row r="13" spans="1:11">
      <c r="A13" s="1096" t="s">
        <v>1144</v>
      </c>
      <c r="B13" s="1104">
        <f t="shared" si="5"/>
        <v>243983.25</v>
      </c>
      <c r="C13" s="1104">
        <f t="shared" si="5"/>
        <v>207669.13699999999</v>
      </c>
      <c r="D13" s="1098">
        <f t="shared" si="5"/>
        <v>2.5602347150193236</v>
      </c>
      <c r="E13" s="1105">
        <f t="shared" si="3"/>
        <v>2.3864308427373424</v>
      </c>
      <c r="F13" s="1099">
        <f t="shared" si="4"/>
        <v>2.7644308427373421</v>
      </c>
      <c r="G13" s="1099">
        <f t="shared" si="0"/>
        <v>0.37799999999999967</v>
      </c>
      <c r="H13" s="1099">
        <f t="shared" si="1"/>
        <v>5.3999999999999999E-2</v>
      </c>
      <c r="I13" s="1099">
        <f t="shared" si="2"/>
        <v>0.37799999999999973</v>
      </c>
      <c r="J13" s="1095"/>
      <c r="K13" s="1095"/>
    </row>
    <row r="14" spans="1:11">
      <c r="A14" s="1096" t="s">
        <v>1145</v>
      </c>
      <c r="B14" s="1104">
        <f t="shared" si="5"/>
        <v>243983.25</v>
      </c>
      <c r="C14" s="1104">
        <f t="shared" si="5"/>
        <v>207669.13699999999</v>
      </c>
      <c r="D14" s="1098">
        <f t="shared" si="5"/>
        <v>2.5602347150193236</v>
      </c>
      <c r="E14" s="1105">
        <f t="shared" si="3"/>
        <v>2.411259967349054</v>
      </c>
      <c r="F14" s="1099">
        <f t="shared" si="4"/>
        <v>2.7352599673490539</v>
      </c>
      <c r="G14" s="1099">
        <f t="shared" si="0"/>
        <v>0.32399999999999984</v>
      </c>
      <c r="H14" s="1099">
        <f t="shared" si="1"/>
        <v>5.3999999999999999E-2</v>
      </c>
      <c r="I14" s="1099">
        <f t="shared" si="2"/>
        <v>0.32399999999999973</v>
      </c>
      <c r="J14" s="1095"/>
      <c r="K14" s="1095"/>
    </row>
    <row r="15" spans="1:11">
      <c r="A15" s="1096" t="s">
        <v>1146</v>
      </c>
      <c r="B15" s="1104">
        <f t="shared" si="5"/>
        <v>243983.25</v>
      </c>
      <c r="C15" s="1104">
        <f t="shared" si="5"/>
        <v>207669.13699999999</v>
      </c>
      <c r="D15" s="1098">
        <f t="shared" si="5"/>
        <v>2.5602347150193236</v>
      </c>
      <c r="E15" s="1105">
        <f t="shared" si="3"/>
        <v>2.4360890919607656</v>
      </c>
      <c r="F15" s="1099">
        <f t="shared" si="4"/>
        <v>2.7060890919607652</v>
      </c>
      <c r="G15" s="1099">
        <f t="shared" si="0"/>
        <v>0.26999999999999957</v>
      </c>
      <c r="H15" s="1099">
        <f t="shared" si="1"/>
        <v>5.3999999999999999E-2</v>
      </c>
      <c r="I15" s="1099">
        <f t="shared" si="2"/>
        <v>0.26999999999999974</v>
      </c>
      <c r="J15" s="1095"/>
      <c r="K15" s="1095"/>
    </row>
    <row r="16" spans="1:11">
      <c r="A16" s="1096" t="s">
        <v>1147</v>
      </c>
      <c r="B16" s="1104">
        <f t="shared" si="5"/>
        <v>243983.25</v>
      </c>
      <c r="C16" s="1104">
        <f t="shared" si="5"/>
        <v>207669.13699999999</v>
      </c>
      <c r="D16" s="1098">
        <f t="shared" si="5"/>
        <v>2.5602347150193236</v>
      </c>
      <c r="E16" s="1105">
        <f t="shared" si="3"/>
        <v>2.4609182165724772</v>
      </c>
      <c r="F16" s="1099">
        <f t="shared" si="4"/>
        <v>2.676918216572477</v>
      </c>
      <c r="G16" s="1099">
        <f t="shared" si="0"/>
        <v>0.21599999999999975</v>
      </c>
      <c r="H16" s="1099">
        <f t="shared" si="1"/>
        <v>5.3999999999999999E-2</v>
      </c>
      <c r="I16" s="1099">
        <f t="shared" si="2"/>
        <v>0.21599999999999975</v>
      </c>
      <c r="J16" s="1095"/>
      <c r="K16" s="1095"/>
    </row>
    <row r="17" spans="1:11">
      <c r="A17" s="1096" t="s">
        <v>1148</v>
      </c>
      <c r="B17" s="1104">
        <f t="shared" si="5"/>
        <v>243983.25</v>
      </c>
      <c r="C17" s="1104">
        <f t="shared" si="5"/>
        <v>207669.13699999999</v>
      </c>
      <c r="D17" s="1098">
        <f t="shared" si="5"/>
        <v>2.5602347150193236</v>
      </c>
      <c r="E17" s="1105">
        <f t="shared" si="3"/>
        <v>2.4857473411841888</v>
      </c>
      <c r="F17" s="1099">
        <f t="shared" si="4"/>
        <v>2.6477473411841888</v>
      </c>
      <c r="G17" s="1099">
        <f t="shared" si="0"/>
        <v>0.16199999999999992</v>
      </c>
      <c r="H17" s="1099">
        <f t="shared" si="1"/>
        <v>5.3999999999999999E-2</v>
      </c>
      <c r="I17" s="1099">
        <f t="shared" si="2"/>
        <v>0.16199999999999976</v>
      </c>
      <c r="J17" s="1095"/>
      <c r="K17" s="1095"/>
    </row>
    <row r="18" spans="1:11">
      <c r="A18" s="1096" t="s">
        <v>1149</v>
      </c>
      <c r="B18" s="1104">
        <f t="shared" si="5"/>
        <v>243983.25</v>
      </c>
      <c r="C18" s="1104">
        <f t="shared" si="5"/>
        <v>207669.13699999999</v>
      </c>
      <c r="D18" s="1098">
        <f t="shared" si="5"/>
        <v>2.5602347150193236</v>
      </c>
      <c r="E18" s="1105">
        <f t="shared" si="3"/>
        <v>2.5105764657959009</v>
      </c>
      <c r="F18" s="1099">
        <f t="shared" si="4"/>
        <v>2.6185764657959005</v>
      </c>
      <c r="G18" s="1099">
        <f t="shared" si="0"/>
        <v>0.10799999999999965</v>
      </c>
      <c r="H18" s="1099">
        <f t="shared" si="1"/>
        <v>5.3999999999999999E-2</v>
      </c>
      <c r="I18" s="1099">
        <f t="shared" si="2"/>
        <v>0.10799999999999976</v>
      </c>
      <c r="J18" s="1095"/>
      <c r="K18" s="1095"/>
    </row>
    <row r="19" spans="1:11" ht="14.4" thickBot="1">
      <c r="A19" s="1106" t="s">
        <v>1150</v>
      </c>
      <c r="B19" s="1107">
        <f t="shared" si="5"/>
        <v>243983.25</v>
      </c>
      <c r="C19" s="1107">
        <f t="shared" si="5"/>
        <v>207669.13699999999</v>
      </c>
      <c r="D19" s="1108">
        <f t="shared" si="5"/>
        <v>2.5602347150193236</v>
      </c>
      <c r="E19" s="1109">
        <f t="shared" si="3"/>
        <v>2.535405590407612</v>
      </c>
      <c r="F19" s="1110">
        <f t="shared" si="4"/>
        <v>2.5894055904076119</v>
      </c>
      <c r="G19" s="1110">
        <f t="shared" si="0"/>
        <v>5.3999999999999826E-2</v>
      </c>
      <c r="H19" s="1110">
        <f t="shared" si="1"/>
        <v>5.3999999999999999E-2</v>
      </c>
      <c r="I19" s="1110">
        <f t="shared" si="2"/>
        <v>5.3999999999999763E-2</v>
      </c>
      <c r="J19" s="1095"/>
      <c r="K19" s="1095"/>
    </row>
    <row r="20" spans="1:11" ht="14.4">
      <c r="A20" s="1960" t="s">
        <v>1151</v>
      </c>
      <c r="B20" s="1961"/>
      <c r="C20" s="1961"/>
      <c r="D20" s="1961"/>
      <c r="E20" s="1115"/>
      <c r="F20" s="1115"/>
      <c r="G20" s="1115"/>
      <c r="H20" s="1115"/>
      <c r="I20" s="1116"/>
    </row>
    <row r="21" spans="1:11" ht="14.4">
      <c r="A21" s="1090">
        <v>40482</v>
      </c>
      <c r="B21" s="1091"/>
      <c r="C21" s="1092"/>
      <c r="D21" s="1111"/>
      <c r="E21" s="1275">
        <v>0.87</v>
      </c>
      <c r="F21" s="1275">
        <v>1.61</v>
      </c>
      <c r="G21" s="1093">
        <f>F21-E21</f>
        <v>0.7400000000000001</v>
      </c>
      <c r="H21" s="1093">
        <f>G21/15</f>
        <v>4.933333333333334E-2</v>
      </c>
      <c r="I21" s="1093">
        <f>G21</f>
        <v>0.7400000000000001</v>
      </c>
      <c r="J21" s="1095"/>
    </row>
    <row r="22" spans="1:11" ht="27.6">
      <c r="A22" s="1096" t="s">
        <v>1137</v>
      </c>
      <c r="B22" s="1274">
        <v>108213</v>
      </c>
      <c r="C22" s="1274">
        <v>119764</v>
      </c>
      <c r="D22" s="1093">
        <f>IF((B22+C22)&gt;0,((B22*E22)+(C22*F22))/(B22+C22),0)</f>
        <v>1.896005583896621</v>
      </c>
      <c r="E22" s="1276">
        <v>1.5329999999999999</v>
      </c>
      <c r="F22" s="1275">
        <v>2.2240000000000002</v>
      </c>
      <c r="G22" s="1093">
        <f t="shared" ref="G22:G36" si="6">F22-E22</f>
        <v>0.69100000000000028</v>
      </c>
      <c r="H22" s="1093">
        <f>H21</f>
        <v>4.933333333333334E-2</v>
      </c>
      <c r="I22" s="1093">
        <f>I21-H22</f>
        <v>0.69066666666666676</v>
      </c>
    </row>
    <row r="23" spans="1:11" ht="27.6">
      <c r="A23" s="1096" t="s">
        <v>1138</v>
      </c>
      <c r="B23" s="1274">
        <v>211828</v>
      </c>
      <c r="C23" s="1274">
        <v>195000</v>
      </c>
      <c r="D23" s="1093">
        <f>IF((B23+C23)&gt;0,((B23*E23)+(C23*F23))/(B23+C23),0)</f>
        <v>2.0002428643062915</v>
      </c>
      <c r="E23" s="1276">
        <v>1.6930000000000001</v>
      </c>
      <c r="F23" s="1275">
        <v>2.3340000000000001</v>
      </c>
      <c r="G23" s="1093">
        <f t="shared" si="6"/>
        <v>0.64100000000000001</v>
      </c>
      <c r="H23" s="1093">
        <f t="shared" ref="H23:H36" si="7">H22</f>
        <v>4.933333333333334E-2</v>
      </c>
      <c r="I23" s="1093">
        <f t="shared" ref="I23:I36" si="8">I22-H23</f>
        <v>0.64133333333333342</v>
      </c>
    </row>
    <row r="24" spans="1:11" ht="27.6">
      <c r="A24" s="1096" t="s">
        <v>1139</v>
      </c>
      <c r="B24" s="1274">
        <v>211828</v>
      </c>
      <c r="C24" s="1274">
        <v>195000</v>
      </c>
      <c r="D24" s="1093">
        <f>IF((B24+C24)&gt;0,((B24*E24)+(C24*F24))/(B24+C24),0)</f>
        <v>2.0027562802953582</v>
      </c>
      <c r="E24" s="1276">
        <v>1.7190000000000001</v>
      </c>
      <c r="F24" s="1275">
        <v>2.3109999999999999</v>
      </c>
      <c r="G24" s="1093">
        <f t="shared" si="6"/>
        <v>0.59199999999999986</v>
      </c>
      <c r="H24" s="1093">
        <f t="shared" si="7"/>
        <v>4.933333333333334E-2</v>
      </c>
      <c r="I24" s="1093">
        <f t="shared" si="8"/>
        <v>0.59200000000000008</v>
      </c>
    </row>
    <row r="25" spans="1:11" ht="27.6">
      <c r="A25" s="1096" t="s">
        <v>1190</v>
      </c>
      <c r="B25" s="1274">
        <v>211828</v>
      </c>
      <c r="C25" s="1274">
        <v>195000</v>
      </c>
      <c r="D25" s="1099">
        <f>IF((B25+C25)&gt;0,((B25*E25)+(C25*F25))/(B25+C25),0)</f>
        <v>2.3427976442132792</v>
      </c>
      <c r="E25" s="1277">
        <v>2.06</v>
      </c>
      <c r="F25" s="1278">
        <v>2.65</v>
      </c>
      <c r="G25" s="1099">
        <f t="shared" si="6"/>
        <v>0.58999999999999986</v>
      </c>
      <c r="H25" s="1278">
        <v>0</v>
      </c>
      <c r="I25" s="1099">
        <f t="shared" si="8"/>
        <v>0.59200000000000008</v>
      </c>
    </row>
    <row r="26" spans="1:11" ht="15.6">
      <c r="A26" s="1096" t="s">
        <v>1140</v>
      </c>
      <c r="B26" s="1100">
        <f>'1. OST-MÜÜK'!X32</f>
        <v>208377.25</v>
      </c>
      <c r="C26" s="1100">
        <f>'1. OST-MÜÜK'!X34</f>
        <v>135366</v>
      </c>
      <c r="D26" s="1101">
        <f>'10. Teenuste hinnad'!K5</f>
        <v>4.1217497446624352</v>
      </c>
      <c r="E26" s="1102">
        <f t="shared" ref="E26:E36" si="9">IF((B26+C26)&gt;0,(D26*(B26+C26)-C26*I26)/(B26+C26),0)</f>
        <v>3.9080477563324822</v>
      </c>
      <c r="F26" s="1103">
        <f t="shared" ref="F26:F36" si="10">I26+E26</f>
        <v>4.4507144229991491</v>
      </c>
      <c r="G26" s="1099">
        <f t="shared" si="6"/>
        <v>0.54266666666666685</v>
      </c>
      <c r="H26" s="1099">
        <f>H24</f>
        <v>4.933333333333334E-2</v>
      </c>
      <c r="I26" s="1099">
        <f t="shared" si="8"/>
        <v>0.54266666666666674</v>
      </c>
    </row>
    <row r="27" spans="1:11">
      <c r="A27" s="1096" t="s">
        <v>1141</v>
      </c>
      <c r="B27" s="1104">
        <f t="shared" ref="B27:D36" si="11">B26</f>
        <v>208377.25</v>
      </c>
      <c r="C27" s="1104">
        <f t="shared" si="11"/>
        <v>135366</v>
      </c>
      <c r="D27" s="1098">
        <f t="shared" si="11"/>
        <v>4.1217497446624352</v>
      </c>
      <c r="E27" s="1105">
        <f t="shared" si="9"/>
        <v>3.9274752098170231</v>
      </c>
      <c r="F27" s="1099">
        <f t="shared" si="10"/>
        <v>4.4208085431503568</v>
      </c>
      <c r="G27" s="1099">
        <f t="shared" si="6"/>
        <v>0.49333333333333362</v>
      </c>
      <c r="H27" s="1099">
        <f t="shared" si="7"/>
        <v>4.933333333333334E-2</v>
      </c>
      <c r="I27" s="1099">
        <f t="shared" si="8"/>
        <v>0.4933333333333334</v>
      </c>
    </row>
    <row r="28" spans="1:11">
      <c r="A28" s="1096" t="s">
        <v>1142</v>
      </c>
      <c r="B28" s="1104">
        <f t="shared" si="11"/>
        <v>208377.25</v>
      </c>
      <c r="C28" s="1104">
        <f t="shared" si="11"/>
        <v>135366</v>
      </c>
      <c r="D28" s="1098">
        <f t="shared" si="11"/>
        <v>4.1217497446624352</v>
      </c>
      <c r="E28" s="1105">
        <f t="shared" si="9"/>
        <v>3.9469026633015645</v>
      </c>
      <c r="F28" s="1099">
        <f t="shared" si="10"/>
        <v>4.3909026633015644</v>
      </c>
      <c r="G28" s="1099">
        <f t="shared" si="6"/>
        <v>0.44399999999999995</v>
      </c>
      <c r="H28" s="1099">
        <f t="shared" si="7"/>
        <v>4.933333333333334E-2</v>
      </c>
      <c r="I28" s="1099">
        <f t="shared" si="8"/>
        <v>0.44400000000000006</v>
      </c>
    </row>
    <row r="29" spans="1:11">
      <c r="A29" s="1096" t="s">
        <v>1143</v>
      </c>
      <c r="B29" s="1104">
        <f t="shared" si="11"/>
        <v>208377.25</v>
      </c>
      <c r="C29" s="1104">
        <f t="shared" si="11"/>
        <v>135366</v>
      </c>
      <c r="D29" s="1098">
        <f t="shared" si="11"/>
        <v>4.1217497446624352</v>
      </c>
      <c r="E29" s="1105">
        <f t="shared" si="9"/>
        <v>3.9663301167861054</v>
      </c>
      <c r="F29" s="1099">
        <f t="shared" si="10"/>
        <v>4.3609967834527721</v>
      </c>
      <c r="G29" s="1099">
        <f t="shared" si="6"/>
        <v>0.39466666666666672</v>
      </c>
      <c r="H29" s="1099">
        <f t="shared" si="7"/>
        <v>4.933333333333334E-2</v>
      </c>
      <c r="I29" s="1099">
        <f t="shared" si="8"/>
        <v>0.39466666666666672</v>
      </c>
    </row>
    <row r="30" spans="1:11">
      <c r="A30" s="1096" t="s">
        <v>1144</v>
      </c>
      <c r="B30" s="1104">
        <f t="shared" si="11"/>
        <v>208377.25</v>
      </c>
      <c r="C30" s="1104">
        <f t="shared" si="11"/>
        <v>135366</v>
      </c>
      <c r="D30" s="1098">
        <f t="shared" si="11"/>
        <v>4.1217497446624352</v>
      </c>
      <c r="E30" s="1105">
        <f t="shared" si="9"/>
        <v>3.9857575702706467</v>
      </c>
      <c r="F30" s="1099">
        <f t="shared" si="10"/>
        <v>4.3310909036039797</v>
      </c>
      <c r="G30" s="1099">
        <f t="shared" si="6"/>
        <v>0.34533333333333305</v>
      </c>
      <c r="H30" s="1099">
        <f t="shared" si="7"/>
        <v>4.933333333333334E-2</v>
      </c>
      <c r="I30" s="1099">
        <f t="shared" si="8"/>
        <v>0.34533333333333338</v>
      </c>
    </row>
    <row r="31" spans="1:11">
      <c r="A31" s="1096" t="s">
        <v>1145</v>
      </c>
      <c r="B31" s="1104">
        <f t="shared" si="11"/>
        <v>208377.25</v>
      </c>
      <c r="C31" s="1104">
        <f t="shared" si="11"/>
        <v>135366</v>
      </c>
      <c r="D31" s="1098">
        <f t="shared" si="11"/>
        <v>4.1217497446624352</v>
      </c>
      <c r="E31" s="1105">
        <f t="shared" si="9"/>
        <v>4.005185023755188</v>
      </c>
      <c r="F31" s="1099">
        <f t="shared" si="10"/>
        <v>4.3011850237551883</v>
      </c>
      <c r="G31" s="1099">
        <f t="shared" si="6"/>
        <v>0.29600000000000026</v>
      </c>
      <c r="H31" s="1099">
        <f t="shared" si="7"/>
        <v>4.933333333333334E-2</v>
      </c>
      <c r="I31" s="1099">
        <f t="shared" si="8"/>
        <v>0.29600000000000004</v>
      </c>
    </row>
    <row r="32" spans="1:11">
      <c r="A32" s="1096" t="s">
        <v>1146</v>
      </c>
      <c r="B32" s="1104">
        <f t="shared" si="11"/>
        <v>208377.25</v>
      </c>
      <c r="C32" s="1104">
        <f t="shared" si="11"/>
        <v>135366</v>
      </c>
      <c r="D32" s="1098">
        <f t="shared" si="11"/>
        <v>4.1217497446624352</v>
      </c>
      <c r="E32" s="1105">
        <f t="shared" si="9"/>
        <v>4.0246124772397289</v>
      </c>
      <c r="F32" s="1099">
        <f t="shared" si="10"/>
        <v>4.271279143906396</v>
      </c>
      <c r="G32" s="1099">
        <f t="shared" si="6"/>
        <v>0.24666666666666703</v>
      </c>
      <c r="H32" s="1099">
        <f t="shared" si="7"/>
        <v>4.933333333333334E-2</v>
      </c>
      <c r="I32" s="1099">
        <f t="shared" si="8"/>
        <v>0.2466666666666667</v>
      </c>
    </row>
    <row r="33" spans="1:9">
      <c r="A33" s="1096" t="s">
        <v>1147</v>
      </c>
      <c r="B33" s="1104">
        <f t="shared" si="11"/>
        <v>208377.25</v>
      </c>
      <c r="C33" s="1104">
        <f t="shared" si="11"/>
        <v>135366</v>
      </c>
      <c r="D33" s="1098">
        <f t="shared" si="11"/>
        <v>4.1217497446624352</v>
      </c>
      <c r="E33" s="1105">
        <f t="shared" si="9"/>
        <v>4.0440399307242707</v>
      </c>
      <c r="F33" s="1099">
        <f t="shared" si="10"/>
        <v>4.2413732640576036</v>
      </c>
      <c r="G33" s="1099">
        <f t="shared" si="6"/>
        <v>0.19733333333333292</v>
      </c>
      <c r="H33" s="1099">
        <f t="shared" si="7"/>
        <v>4.933333333333334E-2</v>
      </c>
      <c r="I33" s="1099">
        <f t="shared" si="8"/>
        <v>0.19733333333333336</v>
      </c>
    </row>
    <row r="34" spans="1:9">
      <c r="A34" s="1096" t="s">
        <v>1148</v>
      </c>
      <c r="B34" s="1104">
        <f t="shared" si="11"/>
        <v>208377.25</v>
      </c>
      <c r="C34" s="1104">
        <f t="shared" si="11"/>
        <v>135366</v>
      </c>
      <c r="D34" s="1098">
        <f t="shared" si="11"/>
        <v>4.1217497446624352</v>
      </c>
      <c r="E34" s="1105">
        <f t="shared" si="9"/>
        <v>4.0634673842088116</v>
      </c>
      <c r="F34" s="1099">
        <f t="shared" si="10"/>
        <v>4.2114673842088113</v>
      </c>
      <c r="G34" s="1099">
        <f t="shared" si="6"/>
        <v>0.14799999999999969</v>
      </c>
      <c r="H34" s="1099">
        <f t="shared" si="7"/>
        <v>4.933333333333334E-2</v>
      </c>
      <c r="I34" s="1099">
        <f t="shared" si="8"/>
        <v>0.14800000000000002</v>
      </c>
    </row>
    <row r="35" spans="1:9">
      <c r="A35" s="1096" t="s">
        <v>1149</v>
      </c>
      <c r="B35" s="1104">
        <f t="shared" si="11"/>
        <v>208377.25</v>
      </c>
      <c r="C35" s="1104">
        <f t="shared" si="11"/>
        <v>135366</v>
      </c>
      <c r="D35" s="1098">
        <f t="shared" si="11"/>
        <v>4.1217497446624352</v>
      </c>
      <c r="E35" s="1105">
        <f t="shared" si="9"/>
        <v>4.0828948376933525</v>
      </c>
      <c r="F35" s="1099">
        <f t="shared" si="10"/>
        <v>4.1815615043600189</v>
      </c>
      <c r="G35" s="1099">
        <f t="shared" si="6"/>
        <v>9.8666666666666458E-2</v>
      </c>
      <c r="H35" s="1099">
        <f t="shared" si="7"/>
        <v>4.933333333333334E-2</v>
      </c>
      <c r="I35" s="1099">
        <f t="shared" si="8"/>
        <v>9.866666666666668E-2</v>
      </c>
    </row>
    <row r="36" spans="1:9">
      <c r="A36" s="1096" t="s">
        <v>1150</v>
      </c>
      <c r="B36" s="1104">
        <f t="shared" si="11"/>
        <v>208377.25</v>
      </c>
      <c r="C36" s="1104">
        <f t="shared" si="11"/>
        <v>135366</v>
      </c>
      <c r="D36" s="1098">
        <f t="shared" si="11"/>
        <v>4.1217497446624352</v>
      </c>
      <c r="E36" s="1105">
        <f t="shared" si="9"/>
        <v>4.1023222911778934</v>
      </c>
      <c r="F36" s="1099">
        <f t="shared" si="10"/>
        <v>4.1516556245112266</v>
      </c>
      <c r="G36" s="1099">
        <f t="shared" si="6"/>
        <v>4.9333333333333229E-2</v>
      </c>
      <c r="H36" s="1099">
        <f t="shared" si="7"/>
        <v>4.933333333333334E-2</v>
      </c>
      <c r="I36" s="1099">
        <f t="shared" si="8"/>
        <v>4.933333333333334E-2</v>
      </c>
    </row>
    <row r="37" spans="1:9">
      <c r="D37" s="1112"/>
    </row>
  </sheetData>
  <mergeCells count="4">
    <mergeCell ref="A1:D1"/>
    <mergeCell ref="G1:I1"/>
    <mergeCell ref="A3:B3"/>
    <mergeCell ref="A20:D20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40"/>
  <sheetViews>
    <sheetView showGridLines="0" tabSelected="1" zoomScale="90" zoomScaleNormal="90" workbookViewId="0">
      <selection sqref="A1:XFD1"/>
    </sheetView>
  </sheetViews>
  <sheetFormatPr defaultColWidth="9.109375" defaultRowHeight="13.2"/>
  <cols>
    <col min="1" max="1" width="22.109375" style="14" customWidth="1"/>
    <col min="2" max="2" width="7" style="14" customWidth="1"/>
    <col min="3" max="3" width="6" style="14" customWidth="1"/>
    <col min="4" max="4" width="9.109375" style="14"/>
    <col min="5" max="5" width="11.5546875" style="14" customWidth="1"/>
    <col min="6" max="6" width="14.44140625" style="14" customWidth="1"/>
    <col min="7" max="7" width="9.109375" style="14" customWidth="1"/>
    <col min="8" max="8" width="6.44140625" style="14" customWidth="1"/>
    <col min="9" max="10" width="9.109375" style="14"/>
    <col min="11" max="11" width="5" style="14" customWidth="1"/>
    <col min="12" max="12" width="11.77734375" style="14" customWidth="1"/>
    <col min="13" max="16384" width="9.109375" style="14"/>
  </cols>
  <sheetData>
    <row r="1" spans="1:9" s="155" customFormat="1" ht="13.8" thickBot="1">
      <c r="A1" s="2069"/>
      <c r="B1" s="2070"/>
      <c r="C1" s="2070"/>
      <c r="D1" s="2070"/>
      <c r="E1" s="2070"/>
      <c r="F1" s="2070"/>
      <c r="G1" s="2070"/>
      <c r="H1" s="2070"/>
    </row>
    <row r="2" spans="1:9">
      <c r="A2" s="4" t="s">
        <v>136</v>
      </c>
      <c r="B2" s="153"/>
      <c r="C2" s="153"/>
      <c r="D2" s="153"/>
      <c r="E2" s="153"/>
      <c r="F2" s="153"/>
      <c r="G2" s="153"/>
      <c r="H2" s="154"/>
    </row>
    <row r="3" spans="1:9">
      <c r="A3" s="1" t="s">
        <v>1152</v>
      </c>
      <c r="B3" s="150"/>
      <c r="C3" s="150"/>
      <c r="D3" s="150"/>
      <c r="E3" s="150"/>
      <c r="F3" s="150"/>
      <c r="G3" s="1272"/>
      <c r="H3" s="151"/>
    </row>
    <row r="4" spans="1:9">
      <c r="A4" s="1" t="s">
        <v>1153</v>
      </c>
      <c r="B4" s="150"/>
      <c r="C4" s="150"/>
      <c r="D4" s="150"/>
      <c r="E4" s="150"/>
      <c r="F4" s="150"/>
      <c r="G4" s="150"/>
      <c r="H4" s="151"/>
    </row>
    <row r="5" spans="1:9">
      <c r="A5" s="1965" t="s">
        <v>258</v>
      </c>
      <c r="B5" s="1966"/>
      <c r="C5" s="1966"/>
      <c r="D5" s="1966"/>
      <c r="E5" s="1966"/>
      <c r="F5" s="1966"/>
      <c r="G5" s="1966"/>
      <c r="H5" s="1967"/>
      <c r="I5" s="155"/>
    </row>
    <row r="6" spans="1:9" ht="13.8" thickBot="1">
      <c r="A6" s="2"/>
      <c r="B6" s="150"/>
      <c r="C6" s="150"/>
      <c r="D6" s="150"/>
      <c r="E6" s="150"/>
      <c r="F6" s="150"/>
      <c r="G6" s="150"/>
      <c r="H6" s="151"/>
    </row>
    <row r="7" spans="1:9">
      <c r="A7" s="1" t="s">
        <v>140</v>
      </c>
      <c r="B7" s="150"/>
      <c r="C7" s="156"/>
      <c r="D7" s="1968" t="s">
        <v>484</v>
      </c>
      <c r="E7" s="1969"/>
      <c r="F7" s="1969"/>
      <c r="G7" s="1969"/>
      <c r="H7" s="1970"/>
    </row>
    <row r="8" spans="1:9">
      <c r="A8" s="1" t="s">
        <v>141</v>
      </c>
      <c r="B8" s="150"/>
      <c r="C8" s="156"/>
      <c r="D8" s="1985">
        <v>10451270</v>
      </c>
      <c r="E8" s="1986"/>
      <c r="F8" s="1986"/>
      <c r="G8" s="1986"/>
      <c r="H8" s="1987"/>
    </row>
    <row r="9" spans="1:9">
      <c r="A9" s="2" t="s">
        <v>142</v>
      </c>
      <c r="B9" s="150"/>
      <c r="C9" s="156"/>
      <c r="D9" s="1985" t="s">
        <v>485</v>
      </c>
      <c r="E9" s="1986"/>
      <c r="F9" s="1986"/>
      <c r="G9" s="1986"/>
      <c r="H9" s="1987"/>
    </row>
    <row r="10" spans="1:9">
      <c r="A10" s="2" t="s">
        <v>143</v>
      </c>
      <c r="B10" s="150"/>
      <c r="C10" s="156"/>
      <c r="D10" s="2022" t="s">
        <v>486</v>
      </c>
      <c r="E10" s="1986"/>
      <c r="F10" s="1986"/>
      <c r="G10" s="1986"/>
      <c r="H10" s="1987"/>
    </row>
    <row r="11" spans="1:9">
      <c r="A11" s="2" t="s">
        <v>1154</v>
      </c>
      <c r="B11" s="150"/>
      <c r="C11" s="156"/>
      <c r="D11" s="1993" t="s">
        <v>487</v>
      </c>
      <c r="E11" s="1986"/>
      <c r="F11" s="1986"/>
      <c r="G11" s="1986"/>
      <c r="H11" s="1987"/>
    </row>
    <row r="12" spans="1:9">
      <c r="A12" s="1971" t="s">
        <v>578</v>
      </c>
      <c r="B12" s="1972"/>
      <c r="C12" s="1973"/>
      <c r="D12" s="1974" t="s">
        <v>1189</v>
      </c>
      <c r="E12" s="1975"/>
      <c r="F12" s="1975"/>
      <c r="G12" s="1975"/>
      <c r="H12" s="1976"/>
      <c r="I12" s="155"/>
    </row>
    <row r="13" spans="1:9">
      <c r="A13" s="1971"/>
      <c r="B13" s="1972"/>
      <c r="C13" s="1973"/>
      <c r="D13" s="1977"/>
      <c r="E13" s="1978"/>
      <c r="F13" s="1978"/>
      <c r="G13" s="1978"/>
      <c r="H13" s="1979"/>
      <c r="I13" s="155"/>
    </row>
    <row r="14" spans="1:9">
      <c r="A14" s="1971"/>
      <c r="B14" s="1972"/>
      <c r="C14" s="1973"/>
      <c r="D14" s="1977"/>
      <c r="E14" s="1978"/>
      <c r="F14" s="1978"/>
      <c r="G14" s="1978"/>
      <c r="H14" s="1979"/>
      <c r="I14" s="155"/>
    </row>
    <row r="15" spans="1:9">
      <c r="A15" s="1971"/>
      <c r="B15" s="1972"/>
      <c r="C15" s="1973"/>
      <c r="D15" s="1977"/>
      <c r="E15" s="1978"/>
      <c r="F15" s="1978"/>
      <c r="G15" s="1978"/>
      <c r="H15" s="1979"/>
      <c r="I15" s="155"/>
    </row>
    <row r="16" spans="1:9">
      <c r="A16" s="1971"/>
      <c r="B16" s="1972"/>
      <c r="C16" s="1973"/>
      <c r="D16" s="1977"/>
      <c r="E16" s="1978"/>
      <c r="F16" s="1978"/>
      <c r="G16" s="1978"/>
      <c r="H16" s="1979"/>
      <c r="I16" s="155"/>
    </row>
    <row r="17" spans="1:13" ht="12.75" customHeight="1">
      <c r="A17" s="1971"/>
      <c r="B17" s="1972"/>
      <c r="C17" s="1973"/>
      <c r="D17" s="1980"/>
      <c r="E17" s="1981"/>
      <c r="F17" s="1981"/>
      <c r="G17" s="1981"/>
      <c r="H17" s="1982"/>
      <c r="I17" s="155"/>
    </row>
    <row r="18" spans="1:13" ht="12.75" customHeight="1">
      <c r="A18" s="1983" t="s">
        <v>144</v>
      </c>
      <c r="B18" s="1984"/>
      <c r="C18" s="1984"/>
      <c r="D18" s="1985" t="s">
        <v>656</v>
      </c>
      <c r="E18" s="1986"/>
      <c r="F18" s="1986"/>
      <c r="G18" s="1986"/>
      <c r="H18" s="1987"/>
      <c r="I18" s="155"/>
    </row>
    <row r="19" spans="1:13" ht="12.75" customHeight="1">
      <c r="A19" s="1990" t="s">
        <v>579</v>
      </c>
      <c r="B19" s="1991"/>
      <c r="C19" s="1992"/>
      <c r="D19" s="1993" t="s">
        <v>655</v>
      </c>
      <c r="E19" s="1986"/>
      <c r="F19" s="1986"/>
      <c r="G19" s="1986"/>
      <c r="H19" s="1987"/>
      <c r="I19" s="155"/>
    </row>
    <row r="20" spans="1:13">
      <c r="A20" s="1990"/>
      <c r="B20" s="1991"/>
      <c r="C20" s="1992"/>
      <c r="D20" s="1985" t="s">
        <v>1245</v>
      </c>
      <c r="E20" s="1986"/>
      <c r="F20" s="1986"/>
      <c r="G20" s="1986"/>
      <c r="H20" s="1987"/>
      <c r="I20" s="155"/>
    </row>
    <row r="21" spans="1:13">
      <c r="A21" s="2"/>
      <c r="B21" s="150"/>
      <c r="C21" s="150"/>
      <c r="D21" s="150"/>
      <c r="E21" s="150"/>
      <c r="F21" s="150"/>
      <c r="G21" s="150"/>
      <c r="H21" s="151"/>
    </row>
    <row r="22" spans="1:13" ht="13.8" thickBot="1">
      <c r="A22" s="2" t="s">
        <v>137</v>
      </c>
      <c r="B22" s="150"/>
      <c r="C22" s="150"/>
      <c r="D22" s="150"/>
      <c r="E22" s="150"/>
      <c r="F22" s="150"/>
      <c r="G22" s="150"/>
      <c r="H22" s="151"/>
    </row>
    <row r="23" spans="1:13">
      <c r="A23" s="1994" t="s">
        <v>1156</v>
      </c>
      <c r="B23" s="1995"/>
      <c r="C23" s="1995"/>
      <c r="D23" s="1995"/>
      <c r="E23" s="1995"/>
      <c r="F23" s="1995"/>
      <c r="G23" s="1995"/>
      <c r="H23" s="1996"/>
    </row>
    <row r="24" spans="1:13">
      <c r="A24" s="1997"/>
      <c r="B24" s="1998"/>
      <c r="C24" s="1998"/>
      <c r="D24" s="1998"/>
      <c r="E24" s="1998"/>
      <c r="F24" s="1998"/>
      <c r="G24" s="1998"/>
      <c r="H24" s="1999"/>
    </row>
    <row r="25" spans="1:13" ht="13.8" thickBot="1">
      <c r="A25" s="2000"/>
      <c r="B25" s="2001"/>
      <c r="C25" s="2001"/>
      <c r="D25" s="2001"/>
      <c r="E25" s="2001"/>
      <c r="F25" s="2001"/>
      <c r="G25" s="2001"/>
      <c r="H25" s="2002"/>
    </row>
    <row r="26" spans="1:13" ht="14.25" customHeight="1">
      <c r="A26" s="1988" t="s">
        <v>1155</v>
      </c>
      <c r="B26" s="2003"/>
      <c r="C26" s="2003"/>
      <c r="D26" s="2003"/>
      <c r="E26" s="2003"/>
      <c r="F26" s="2003"/>
      <c r="G26" s="2003"/>
      <c r="H26" s="2004"/>
      <c r="I26" s="155"/>
      <c r="J26" s="155"/>
      <c r="K26" s="155"/>
    </row>
    <row r="27" spans="1:13" ht="26.4">
      <c r="A27" s="2005" t="s">
        <v>123</v>
      </c>
      <c r="B27" s="2006"/>
      <c r="C27" s="2006"/>
      <c r="D27" s="2006"/>
      <c r="E27" s="2006"/>
      <c r="F27" s="2007"/>
      <c r="G27" s="249" t="s">
        <v>150</v>
      </c>
      <c r="H27" s="250" t="s">
        <v>151</v>
      </c>
      <c r="I27" s="1441" t="s">
        <v>575</v>
      </c>
      <c r="J27" s="1442" t="s">
        <v>576</v>
      </c>
      <c r="K27" s="155"/>
      <c r="L27" s="1444" t="s">
        <v>1236</v>
      </c>
      <c r="M27" s="1445"/>
    </row>
    <row r="28" spans="1:13" s="157" customFormat="1" ht="17.25" customHeight="1">
      <c r="A28" s="2008" t="s">
        <v>341</v>
      </c>
      <c r="B28" s="2009"/>
      <c r="C28" s="2009"/>
      <c r="D28" s="2009"/>
      <c r="E28" s="2009"/>
      <c r="F28" s="2010"/>
      <c r="G28" s="1120">
        <f>Hinnavahe!E9</f>
        <v>2.287114344290496</v>
      </c>
      <c r="H28" s="152" t="s">
        <v>174</v>
      </c>
      <c r="I28" s="1121">
        <v>1.32</v>
      </c>
      <c r="J28" s="1443">
        <f>(G28-I28)/I28</f>
        <v>0.7326623820382544</v>
      </c>
      <c r="K28" s="1200"/>
      <c r="L28" s="1446">
        <f>((G28+G30)-(I28+I30))/(I28+I30)</f>
        <v>0.83288819545058534</v>
      </c>
      <c r="M28" s="1447" t="s">
        <v>1237</v>
      </c>
    </row>
    <row r="29" spans="1:13" s="157" customFormat="1" ht="17.25" customHeight="1">
      <c r="A29" s="2011" t="s">
        <v>342</v>
      </c>
      <c r="B29" s="2012"/>
      <c r="C29" s="2012"/>
      <c r="D29" s="2012"/>
      <c r="E29" s="2012"/>
      <c r="F29" s="2013"/>
      <c r="G29" s="1120">
        <f>Hinnavahe!F9</f>
        <v>2.8811143442904958</v>
      </c>
      <c r="H29" s="152" t="s">
        <v>174</v>
      </c>
      <c r="I29" s="1121">
        <v>1.97</v>
      </c>
      <c r="J29" s="1443">
        <f t="shared" ref="J29:J31" si="0">(G29-I29)/I29</f>
        <v>0.46249459101040402</v>
      </c>
      <c r="K29" s="1200"/>
      <c r="L29" s="1446">
        <f>((G29+G31)-(I29+I31))/(I29+I31)</f>
        <v>0.58697592365576723</v>
      </c>
      <c r="M29" s="1447" t="s">
        <v>1238</v>
      </c>
    </row>
    <row r="30" spans="1:13" s="157" customFormat="1" ht="17.25" customHeight="1">
      <c r="A30" s="2011" t="s">
        <v>343</v>
      </c>
      <c r="B30" s="2012"/>
      <c r="C30" s="2012"/>
      <c r="D30" s="2012"/>
      <c r="E30" s="2012"/>
      <c r="F30" s="2013"/>
      <c r="G30" s="1120">
        <f>Hinnavahe!E26</f>
        <v>3.9080477563324822</v>
      </c>
      <c r="H30" s="152" t="s">
        <v>174</v>
      </c>
      <c r="I30" s="1121">
        <v>2.06</v>
      </c>
      <c r="J30" s="1443">
        <f t="shared" si="0"/>
        <v>0.89711056132644762</v>
      </c>
      <c r="K30" s="1200"/>
    </row>
    <row r="31" spans="1:13" s="157" customFormat="1" ht="17.25" customHeight="1" thickBot="1">
      <c r="A31" s="2023" t="s">
        <v>344</v>
      </c>
      <c r="B31" s="2024"/>
      <c r="C31" s="2024"/>
      <c r="D31" s="2024"/>
      <c r="E31" s="2024"/>
      <c r="F31" s="2025"/>
      <c r="G31" s="1122">
        <f>Hinnavahe!F26</f>
        <v>4.4507144229991491</v>
      </c>
      <c r="H31" s="251" t="s">
        <v>174</v>
      </c>
      <c r="I31" s="1121">
        <v>2.65</v>
      </c>
      <c r="J31" s="1443">
        <f t="shared" si="0"/>
        <v>0.67951487660345256</v>
      </c>
      <c r="K31" s="1200"/>
    </row>
    <row r="32" spans="1:13">
      <c r="A32" s="1988"/>
      <c r="B32" s="1989"/>
      <c r="C32" s="1989"/>
      <c r="D32" s="1989"/>
      <c r="E32" s="1989"/>
      <c r="F32" s="1989"/>
      <c r="G32" s="961"/>
      <c r="H32" s="158"/>
    </row>
    <row r="33" spans="1:9">
      <c r="A33" s="1988" t="s">
        <v>259</v>
      </c>
      <c r="B33" s="2014"/>
      <c r="C33" s="2014"/>
      <c r="D33" s="2014"/>
      <c r="E33" s="2014"/>
      <c r="F33" s="2014"/>
      <c r="G33" s="2014"/>
      <c r="H33" s="2015"/>
      <c r="I33" s="155"/>
    </row>
    <row r="34" spans="1:9" ht="13.8" thickBot="1">
      <c r="A34" s="2"/>
      <c r="B34" s="150"/>
      <c r="C34" s="150"/>
      <c r="D34" s="150"/>
      <c r="E34" s="150"/>
      <c r="F34" s="150"/>
      <c r="G34" s="150"/>
      <c r="H34" s="151"/>
    </row>
    <row r="35" spans="1:9" ht="13.8" thickBot="1">
      <c r="A35" s="2" t="s">
        <v>138</v>
      </c>
      <c r="B35" s="2016" t="s">
        <v>657</v>
      </c>
      <c r="C35" s="2017"/>
      <c r="D35" s="2017"/>
      <c r="E35" s="2017"/>
      <c r="F35" s="2017"/>
      <c r="G35" s="2017"/>
      <c r="H35" s="2018"/>
    </row>
    <row r="36" spans="1:9" ht="13.8" thickBot="1">
      <c r="A36" s="2"/>
      <c r="B36" s="150"/>
      <c r="C36" s="150"/>
      <c r="D36" s="150"/>
      <c r="E36" s="150"/>
      <c r="F36" s="150"/>
      <c r="G36" s="150"/>
      <c r="H36" s="151"/>
    </row>
    <row r="37" spans="1:9" ht="13.8" thickBot="1">
      <c r="A37" s="2" t="s">
        <v>139</v>
      </c>
      <c r="B37" s="2019" t="s">
        <v>340</v>
      </c>
      <c r="C37" s="2020"/>
      <c r="D37" s="2020"/>
      <c r="E37" s="2020"/>
      <c r="F37" s="2020"/>
      <c r="G37" s="2020"/>
      <c r="H37" s="2021"/>
    </row>
    <row r="38" spans="1:9" ht="13.8" thickBot="1">
      <c r="A38" s="2"/>
      <c r="B38" s="150"/>
      <c r="C38" s="150"/>
      <c r="D38" s="150"/>
      <c r="E38" s="150"/>
      <c r="F38" s="150"/>
      <c r="G38" s="150"/>
      <c r="H38" s="151"/>
    </row>
    <row r="39" spans="1:9" ht="13.8" thickBot="1">
      <c r="A39" s="2" t="s">
        <v>577</v>
      </c>
      <c r="B39" s="1962" t="s">
        <v>623</v>
      </c>
      <c r="C39" s="1963"/>
      <c r="D39" s="1963"/>
      <c r="E39" s="1963"/>
      <c r="F39" s="1963"/>
      <c r="G39" s="1963"/>
      <c r="H39" s="1964"/>
    </row>
    <row r="40" spans="1:9" ht="13.8" thickBot="1">
      <c r="A40" s="159"/>
      <c r="B40" s="160"/>
      <c r="C40" s="160"/>
      <c r="D40" s="160"/>
      <c r="E40" s="160"/>
      <c r="F40" s="160"/>
      <c r="G40" s="160"/>
      <c r="H40" s="161"/>
    </row>
  </sheetData>
  <customSheetViews>
    <customSheetView guid="{9D39536F-7A22-4529-9C64-FD3A1A808A75}" showGridLines="0">
      <selection activeCell="M17" sqref="M17"/>
      <pageMargins left="0.7" right="0.7" top="0.75" bottom="0.75" header="0.3" footer="0.3"/>
      <pageSetup paperSize="9" orientation="portrait" r:id="rId1"/>
    </customSheetView>
    <customSheetView guid="{6C236B63-681D-4F29-AD2F-15CCCBE175D6}">
      <selection activeCell="A16" sqref="A16:IV16"/>
      <pageMargins left="0.7" right="0.7" top="0.75" bottom="0.75" header="0.3" footer="0.3"/>
      <pageSetup paperSize="9" orientation="portrait" r:id="rId2"/>
    </customSheetView>
    <customSheetView guid="{2DAF91AD-ADBA-4D7F-A05E-C1061079573C}" topLeftCell="A61">
      <selection activeCell="A37" sqref="A37:F37"/>
      <pageMargins left="0.7" right="0.7" top="0.75" bottom="0.75" header="0.3" footer="0.3"/>
      <pageSetup paperSize="9" orientation="portrait" r:id="rId3"/>
    </customSheetView>
  </customSheetViews>
  <mergeCells count="25">
    <mergeCell ref="B35:H35"/>
    <mergeCell ref="B37:H37"/>
    <mergeCell ref="D8:H8"/>
    <mergeCell ref="D9:H9"/>
    <mergeCell ref="D10:H10"/>
    <mergeCell ref="D11:H11"/>
    <mergeCell ref="A30:F30"/>
    <mergeCell ref="A31:F31"/>
    <mergeCell ref="D20:H20"/>
    <mergeCell ref="B39:H39"/>
    <mergeCell ref="A5:H5"/>
    <mergeCell ref="D7:H7"/>
    <mergeCell ref="A12:C17"/>
    <mergeCell ref="D12:H17"/>
    <mergeCell ref="A18:C18"/>
    <mergeCell ref="D18:H18"/>
    <mergeCell ref="A32:F32"/>
    <mergeCell ref="A19:C20"/>
    <mergeCell ref="D19:H19"/>
    <mergeCell ref="A23:H25"/>
    <mergeCell ref="A26:H26"/>
    <mergeCell ref="A27:F27"/>
    <mergeCell ref="A28:F28"/>
    <mergeCell ref="A29:F29"/>
    <mergeCell ref="A33:H33"/>
  </mergeCells>
  <hyperlinks>
    <hyperlink ref="D11" r:id="rId4"/>
    <hyperlink ref="D19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44"/>
  <sheetViews>
    <sheetView zoomScale="80" zoomScaleNormal="80" workbookViewId="0">
      <pane xSplit="2" ySplit="3" topLeftCell="E4" activePane="bottomRight" state="frozen"/>
      <selection activeCell="AB8" sqref="AB8"/>
      <selection pane="topRight" activeCell="AB8" sqref="AB8"/>
      <selection pane="bottomLeft" activeCell="AB8" sqref="AB8"/>
      <selection pane="bottomRight" sqref="A1:XFD1"/>
    </sheetView>
  </sheetViews>
  <sheetFormatPr defaultColWidth="9.33203125" defaultRowHeight="13.2"/>
  <cols>
    <col min="1" max="1" width="8.33203125" style="392" bestFit="1" customWidth="1"/>
    <col min="2" max="2" width="50.77734375" style="142" customWidth="1"/>
    <col min="3" max="4" width="9.77734375" style="340" customWidth="1"/>
    <col min="5" max="5" width="11.77734375" style="340" customWidth="1"/>
    <col min="6" max="8" width="9.77734375" style="340" customWidth="1"/>
    <col min="9" max="9" width="11.77734375" style="340" customWidth="1"/>
    <col min="10" max="10" width="9.77734375" style="340" customWidth="1"/>
    <col min="11" max="12" width="9.77734375" style="142" customWidth="1"/>
    <col min="13" max="13" width="11.77734375" style="142" customWidth="1"/>
    <col min="14" max="16" width="9.77734375" style="142" customWidth="1"/>
    <col min="17" max="17" width="11.77734375" style="142" customWidth="1"/>
    <col min="18" max="20" width="9.77734375" style="142" customWidth="1"/>
    <col min="21" max="21" width="11.77734375" style="142" customWidth="1"/>
    <col min="22" max="22" width="9.77734375" style="142" customWidth="1"/>
    <col min="23" max="36" width="9.33203125" style="356"/>
    <col min="37" max="16384" width="9.33203125" style="142"/>
  </cols>
  <sheetData>
    <row r="1" spans="1:36" s="340" customFormat="1" ht="16.2" thickBot="1">
      <c r="A1" s="2029"/>
      <c r="B1" s="2030"/>
      <c r="D1" s="394"/>
      <c r="F1" s="394"/>
      <c r="H1" s="2031"/>
      <c r="I1" s="2032"/>
      <c r="J1" s="2032"/>
      <c r="K1" s="2032"/>
      <c r="L1" s="2031"/>
      <c r="M1" s="2033"/>
      <c r="N1" s="2033"/>
      <c r="O1" s="2032"/>
      <c r="P1" s="2031"/>
      <c r="S1" s="2032"/>
      <c r="T1" s="203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</row>
    <row r="2" spans="1:36" s="343" customFormat="1" ht="31.8" customHeight="1">
      <c r="A2" s="1656" t="s">
        <v>57</v>
      </c>
      <c r="B2" s="1658" t="s">
        <v>992</v>
      </c>
      <c r="C2" s="1660">
        <v>2021</v>
      </c>
      <c r="D2" s="1661"/>
      <c r="E2" s="1661"/>
      <c r="F2" s="1662"/>
      <c r="G2" s="1663">
        <v>2022</v>
      </c>
      <c r="H2" s="1664"/>
      <c r="I2" s="1664"/>
      <c r="J2" s="1665"/>
      <c r="K2" s="1653">
        <v>2023</v>
      </c>
      <c r="L2" s="1654"/>
      <c r="M2" s="1654"/>
      <c r="N2" s="1655"/>
      <c r="O2" s="1653" t="s">
        <v>1195</v>
      </c>
      <c r="P2" s="1654"/>
      <c r="Q2" s="1654"/>
      <c r="R2" s="1655"/>
      <c r="S2" s="1653" t="s">
        <v>1194</v>
      </c>
      <c r="T2" s="1654"/>
      <c r="U2" s="1654"/>
      <c r="V2" s="1655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</row>
    <row r="3" spans="1:36" s="344" customFormat="1" ht="37.799999999999997" customHeight="1" thickBot="1">
      <c r="A3" s="1657"/>
      <c r="B3" s="1659"/>
      <c r="C3" s="814" t="s">
        <v>886</v>
      </c>
      <c r="D3" s="815" t="s">
        <v>787</v>
      </c>
      <c r="E3" s="815" t="s">
        <v>561</v>
      </c>
      <c r="F3" s="816" t="s">
        <v>887</v>
      </c>
      <c r="G3" s="814" t="s">
        <v>886</v>
      </c>
      <c r="H3" s="815" t="s">
        <v>787</v>
      </c>
      <c r="I3" s="815" t="s">
        <v>561</v>
      </c>
      <c r="J3" s="816" t="s">
        <v>887</v>
      </c>
      <c r="K3" s="814" t="s">
        <v>886</v>
      </c>
      <c r="L3" s="815" t="s">
        <v>787</v>
      </c>
      <c r="M3" s="815" t="s">
        <v>561</v>
      </c>
      <c r="N3" s="816" t="s">
        <v>887</v>
      </c>
      <c r="O3" s="814" t="s">
        <v>886</v>
      </c>
      <c r="P3" s="815" t="s">
        <v>787</v>
      </c>
      <c r="Q3" s="815" t="s">
        <v>561</v>
      </c>
      <c r="R3" s="816" t="s">
        <v>887</v>
      </c>
      <c r="S3" s="814" t="s">
        <v>886</v>
      </c>
      <c r="T3" s="815" t="s">
        <v>787</v>
      </c>
      <c r="U3" s="815" t="s">
        <v>561</v>
      </c>
      <c r="V3" s="816" t="s">
        <v>887</v>
      </c>
    </row>
    <row r="4" spans="1:36" s="346" customFormat="1" ht="14.25" customHeight="1">
      <c r="A4" s="523" t="s">
        <v>6</v>
      </c>
      <c r="B4" s="1228" t="s">
        <v>43</v>
      </c>
      <c r="C4" s="1215"/>
      <c r="D4" s="526"/>
      <c r="E4" s="527"/>
      <c r="F4" s="525"/>
      <c r="G4" s="524"/>
      <c r="H4" s="526"/>
      <c r="I4" s="527"/>
      <c r="J4" s="525"/>
      <c r="K4" s="524"/>
      <c r="L4" s="526"/>
      <c r="M4" s="527"/>
      <c r="N4" s="525"/>
      <c r="O4" s="524"/>
      <c r="P4" s="526"/>
      <c r="Q4" s="527"/>
      <c r="R4" s="1271"/>
      <c r="S4" s="524"/>
      <c r="T4" s="526"/>
      <c r="U4" s="527"/>
      <c r="V4" s="1271"/>
    </row>
    <row r="5" spans="1:36" s="351" customFormat="1" ht="14.25" customHeight="1">
      <c r="A5" s="347" t="s">
        <v>7</v>
      </c>
      <c r="B5" s="1229" t="s">
        <v>73</v>
      </c>
      <c r="C5" s="1216"/>
      <c r="D5" s="349"/>
      <c r="E5" s="349"/>
      <c r="F5" s="350"/>
      <c r="G5" s="348"/>
      <c r="H5" s="349"/>
      <c r="I5" s="349"/>
      <c r="J5" s="350"/>
      <c r="K5" s="348"/>
      <c r="L5" s="349"/>
      <c r="M5" s="349"/>
      <c r="N5" s="350"/>
      <c r="O5" s="1216"/>
      <c r="P5" s="349"/>
      <c r="Q5" s="349"/>
      <c r="R5" s="350"/>
      <c r="S5" s="1216"/>
      <c r="T5" s="349"/>
      <c r="U5" s="349"/>
      <c r="V5" s="350"/>
    </row>
    <row r="6" spans="1:36" s="356" customFormat="1">
      <c r="A6" s="352" t="s">
        <v>8</v>
      </c>
      <c r="B6" s="358" t="s">
        <v>260</v>
      </c>
      <c r="C6" s="1217">
        <f t="shared" ref="C6:C19" si="0">SUM(D6:F6)</f>
        <v>456297</v>
      </c>
      <c r="D6" s="353">
        <f>'1. OST-MÜÜK'!F28</f>
        <v>456297</v>
      </c>
      <c r="E6" s="354"/>
      <c r="F6" s="355"/>
      <c r="G6" s="1217">
        <f t="shared" ref="G6:G19" si="1">SUM(H6:J6)</f>
        <v>578045</v>
      </c>
      <c r="H6" s="353">
        <f>'1. OST-MÜÜK'!K28</f>
        <v>578045</v>
      </c>
      <c r="I6" s="354"/>
      <c r="J6" s="355"/>
      <c r="K6" s="1217">
        <f t="shared" ref="K6:K19" si="2">SUM(L6:N6)</f>
        <v>683679</v>
      </c>
      <c r="L6" s="353">
        <f>'1. OST-MÜÜK'!P28</f>
        <v>683679</v>
      </c>
      <c r="M6" s="354"/>
      <c r="N6" s="355"/>
      <c r="O6" s="1217">
        <f t="shared" ref="O6:O19" si="3">SUM(P6:R6)</f>
        <v>730371.11988999997</v>
      </c>
      <c r="P6" s="353">
        <f>'1. OST-MÜÜK'!U28</f>
        <v>730371.11988999997</v>
      </c>
      <c r="Q6" s="354"/>
      <c r="R6" s="355"/>
      <c r="S6" s="1217">
        <f t="shared" ref="S6:S19" si="4">SUM(T6:V6)</f>
        <v>1156336.1203187422</v>
      </c>
      <c r="T6" s="353">
        <f>'1. OST-MÜÜK'!Z28</f>
        <v>1156336.1203187422</v>
      </c>
      <c r="U6" s="354"/>
      <c r="V6" s="355"/>
    </row>
    <row r="7" spans="1:36" s="356" customFormat="1">
      <c r="A7" s="352" t="s">
        <v>9</v>
      </c>
      <c r="B7" s="1230" t="s">
        <v>158</v>
      </c>
      <c r="C7" s="1217">
        <f t="shared" si="0"/>
        <v>687149</v>
      </c>
      <c r="D7" s="353">
        <f>'1. OST-MÜÜK'!F36</f>
        <v>687149</v>
      </c>
      <c r="E7" s="354"/>
      <c r="F7" s="355"/>
      <c r="G7" s="1217">
        <f t="shared" si="1"/>
        <v>633992</v>
      </c>
      <c r="H7" s="353">
        <f>'1. OST-MÜÜK'!K36</f>
        <v>633992</v>
      </c>
      <c r="I7" s="354"/>
      <c r="J7" s="355"/>
      <c r="K7" s="1217">
        <f t="shared" si="2"/>
        <v>740074</v>
      </c>
      <c r="L7" s="353">
        <f>'1. OST-MÜÜK'!P36</f>
        <v>740074</v>
      </c>
      <c r="M7" s="354"/>
      <c r="N7" s="355"/>
      <c r="O7" s="1217">
        <f t="shared" si="3"/>
        <v>786736.39999999991</v>
      </c>
      <c r="P7" s="353">
        <f>'1. OST-MÜÜK'!U36</f>
        <v>786736.39999999991</v>
      </c>
      <c r="Q7" s="354"/>
      <c r="R7" s="355"/>
      <c r="S7" s="1217">
        <f t="shared" si="4"/>
        <v>1416823.6529169357</v>
      </c>
      <c r="T7" s="353">
        <f>'1. OST-MÜÜK'!Z36</f>
        <v>1416823.6529169357</v>
      </c>
      <c r="U7" s="354"/>
      <c r="V7" s="355"/>
    </row>
    <row r="8" spans="1:36" s="356" customFormat="1">
      <c r="A8" s="352" t="s">
        <v>10</v>
      </c>
      <c r="B8" s="1230" t="s">
        <v>184</v>
      </c>
      <c r="C8" s="1217">
        <f t="shared" si="0"/>
        <v>0</v>
      </c>
      <c r="D8" s="354"/>
      <c r="E8" s="354"/>
      <c r="F8" s="355"/>
      <c r="G8" s="1217">
        <f t="shared" si="1"/>
        <v>0</v>
      </c>
      <c r="H8" s="354"/>
      <c r="I8" s="354"/>
      <c r="J8" s="355"/>
      <c r="K8" s="1217">
        <f t="shared" si="2"/>
        <v>0</v>
      </c>
      <c r="L8" s="354"/>
      <c r="M8" s="354"/>
      <c r="N8" s="355"/>
      <c r="O8" s="1217">
        <f t="shared" si="3"/>
        <v>0</v>
      </c>
      <c r="P8" s="354"/>
      <c r="Q8" s="354"/>
      <c r="R8" s="355"/>
      <c r="S8" s="1217">
        <f t="shared" si="4"/>
        <v>0</v>
      </c>
      <c r="T8" s="354"/>
      <c r="U8" s="354"/>
      <c r="V8" s="355"/>
    </row>
    <row r="9" spans="1:36" s="356" customFormat="1">
      <c r="A9" s="352" t="s">
        <v>11</v>
      </c>
      <c r="B9" s="1230" t="s">
        <v>185</v>
      </c>
      <c r="C9" s="1217">
        <f t="shared" si="0"/>
        <v>0</v>
      </c>
      <c r="D9" s="354"/>
      <c r="E9" s="354"/>
      <c r="F9" s="355"/>
      <c r="G9" s="1217">
        <f t="shared" si="1"/>
        <v>0</v>
      </c>
      <c r="H9" s="354"/>
      <c r="I9" s="354"/>
      <c r="J9" s="355"/>
      <c r="K9" s="1217">
        <f t="shared" si="2"/>
        <v>0</v>
      </c>
      <c r="L9" s="354"/>
      <c r="M9" s="354"/>
      <c r="N9" s="355"/>
      <c r="O9" s="1217">
        <f t="shared" si="3"/>
        <v>0</v>
      </c>
      <c r="P9" s="354"/>
      <c r="Q9" s="354"/>
      <c r="R9" s="355"/>
      <c r="S9" s="1217">
        <f t="shared" si="4"/>
        <v>0</v>
      </c>
      <c r="T9" s="354"/>
      <c r="U9" s="354"/>
      <c r="V9" s="355"/>
    </row>
    <row r="10" spans="1:36" s="356" customFormat="1">
      <c r="A10" s="352" t="s">
        <v>12</v>
      </c>
      <c r="B10" s="1231" t="s">
        <v>114</v>
      </c>
      <c r="C10" s="1217">
        <f t="shared" si="0"/>
        <v>7044</v>
      </c>
      <c r="D10" s="354"/>
      <c r="E10" s="354">
        <v>7044</v>
      </c>
      <c r="F10" s="355"/>
      <c r="G10" s="1217">
        <f t="shared" si="1"/>
        <v>6553.66</v>
      </c>
      <c r="H10" s="354"/>
      <c r="I10" s="438">
        <v>6553.66</v>
      </c>
      <c r="J10" s="355"/>
      <c r="K10" s="1217">
        <f t="shared" si="2"/>
        <v>25646</v>
      </c>
      <c r="L10" s="354"/>
      <c r="M10" s="438">
        <v>25646</v>
      </c>
      <c r="N10" s="355"/>
      <c r="O10" s="1217">
        <f t="shared" si="3"/>
        <v>0</v>
      </c>
      <c r="P10" s="354"/>
      <c r="Q10" s="354"/>
      <c r="R10" s="355"/>
      <c r="S10" s="1217">
        <f t="shared" si="4"/>
        <v>0</v>
      </c>
      <c r="T10" s="354"/>
      <c r="U10" s="354"/>
      <c r="V10" s="355"/>
    </row>
    <row r="11" spans="1:36" s="356" customFormat="1" ht="26.4">
      <c r="A11" s="352" t="s">
        <v>75</v>
      </c>
      <c r="B11" s="1232" t="s">
        <v>573</v>
      </c>
      <c r="C11" s="1217">
        <f t="shared" si="0"/>
        <v>29962.033599999999</v>
      </c>
      <c r="D11" s="354"/>
      <c r="E11" s="354"/>
      <c r="F11" s="358">
        <f>'1. OST-MÜÜK'!F50</f>
        <v>29962.033599999999</v>
      </c>
      <c r="G11" s="1217">
        <f t="shared" si="1"/>
        <v>28646.42</v>
      </c>
      <c r="H11" s="354"/>
      <c r="I11" s="354"/>
      <c r="J11" s="358">
        <f>'1. OST-MÜÜK'!K50</f>
        <v>28646.42</v>
      </c>
      <c r="K11" s="1217">
        <f t="shared" si="2"/>
        <v>51527.477499999994</v>
      </c>
      <c r="L11" s="354"/>
      <c r="M11" s="354"/>
      <c r="N11" s="358">
        <f>'1. OST-MÜÜK'!P50</f>
        <v>51527.477499999994</v>
      </c>
      <c r="O11" s="1217">
        <f t="shared" si="3"/>
        <v>36450</v>
      </c>
      <c r="P11" s="354"/>
      <c r="Q11" s="354"/>
      <c r="R11" s="358">
        <f>'1. OST-MÜÜK'!U50</f>
        <v>36450</v>
      </c>
      <c r="S11" s="1217">
        <f t="shared" si="4"/>
        <v>36450</v>
      </c>
      <c r="T11" s="354"/>
      <c r="U11" s="354"/>
      <c r="V11" s="358">
        <f>'1. OST-MÜÜK'!Z50</f>
        <v>36450</v>
      </c>
    </row>
    <row r="12" spans="1:36" s="356" customFormat="1" ht="26.4">
      <c r="A12" s="352" t="s">
        <v>76</v>
      </c>
      <c r="B12" s="1230" t="s">
        <v>154</v>
      </c>
      <c r="C12" s="1217">
        <f t="shared" si="0"/>
        <v>0</v>
      </c>
      <c r="D12" s="354"/>
      <c r="E12" s="354"/>
      <c r="F12" s="355"/>
      <c r="G12" s="1217">
        <f t="shared" si="1"/>
        <v>0</v>
      </c>
      <c r="H12" s="354"/>
      <c r="I12" s="354"/>
      <c r="J12" s="355"/>
      <c r="K12" s="1217">
        <f t="shared" si="2"/>
        <v>0</v>
      </c>
      <c r="L12" s="354"/>
      <c r="M12" s="354"/>
      <c r="N12" s="355"/>
      <c r="O12" s="1217">
        <f t="shared" si="3"/>
        <v>0</v>
      </c>
      <c r="P12" s="354"/>
      <c r="Q12" s="354"/>
      <c r="R12" s="355"/>
      <c r="S12" s="1217">
        <f t="shared" si="4"/>
        <v>0</v>
      </c>
      <c r="T12" s="354"/>
      <c r="U12" s="354"/>
      <c r="V12" s="355"/>
    </row>
    <row r="13" spans="1:36" s="356" customFormat="1">
      <c r="A13" s="352" t="s">
        <v>77</v>
      </c>
      <c r="B13" s="1230" t="s">
        <v>161</v>
      </c>
      <c r="C13" s="1217">
        <f t="shared" si="0"/>
        <v>0</v>
      </c>
      <c r="D13" s="354"/>
      <c r="E13" s="354"/>
      <c r="F13" s="355"/>
      <c r="G13" s="1217">
        <f t="shared" si="1"/>
        <v>0</v>
      </c>
      <c r="H13" s="354"/>
      <c r="I13" s="354"/>
      <c r="J13" s="355"/>
      <c r="K13" s="1217">
        <f t="shared" si="2"/>
        <v>278389</v>
      </c>
      <c r="L13" s="354"/>
      <c r="M13" s="354"/>
      <c r="N13" s="439">
        <f>278389</f>
        <v>278389</v>
      </c>
      <c r="O13" s="1217">
        <f t="shared" si="3"/>
        <v>189247.995915354</v>
      </c>
      <c r="P13" s="354"/>
      <c r="Q13" s="354"/>
      <c r="R13" s="439">
        <f>189247.995915354</f>
        <v>189247.995915354</v>
      </c>
      <c r="S13" s="1217">
        <f t="shared" si="4"/>
        <v>60000</v>
      </c>
      <c r="T13" s="354"/>
      <c r="U13" s="354"/>
      <c r="V13" s="439">
        <v>60000</v>
      </c>
    </row>
    <row r="14" spans="1:36" s="356" customFormat="1" ht="26.4">
      <c r="A14" s="352" t="s">
        <v>78</v>
      </c>
      <c r="B14" s="1233" t="s">
        <v>1192</v>
      </c>
      <c r="C14" s="1217">
        <f t="shared" si="0"/>
        <v>0</v>
      </c>
      <c r="D14" s="354"/>
      <c r="E14" s="354"/>
      <c r="F14" s="355"/>
      <c r="G14" s="1217">
        <f t="shared" si="1"/>
        <v>0</v>
      </c>
      <c r="H14" s="354"/>
      <c r="I14" s="354"/>
      <c r="J14" s="355"/>
      <c r="K14" s="1217">
        <f t="shared" si="2"/>
        <v>0</v>
      </c>
      <c r="L14" s="354"/>
      <c r="M14" s="354"/>
      <c r="N14" s="355"/>
      <c r="O14" s="1217">
        <f t="shared" si="3"/>
        <v>0</v>
      </c>
      <c r="P14" s="354"/>
      <c r="Q14" s="354"/>
      <c r="R14" s="355"/>
      <c r="S14" s="1217">
        <f t="shared" si="4"/>
        <v>0</v>
      </c>
      <c r="T14" s="354"/>
      <c r="U14" s="354"/>
      <c r="V14" s="355"/>
    </row>
    <row r="15" spans="1:36" s="356" customFormat="1">
      <c r="A15" s="352" t="s">
        <v>122</v>
      </c>
      <c r="B15" s="1234" t="s">
        <v>170</v>
      </c>
      <c r="C15" s="1217">
        <f t="shared" si="0"/>
        <v>161933</v>
      </c>
      <c r="D15" s="354"/>
      <c r="E15" s="354"/>
      <c r="F15" s="355">
        <v>161933</v>
      </c>
      <c r="G15" s="1217">
        <f t="shared" si="1"/>
        <v>341032.5</v>
      </c>
      <c r="H15" s="354"/>
      <c r="I15" s="354"/>
      <c r="J15" s="439">
        <v>341032.5</v>
      </c>
      <c r="K15" s="1217">
        <f t="shared" si="2"/>
        <v>182868.75</v>
      </c>
      <c r="L15" s="354"/>
      <c r="M15" s="354"/>
      <c r="N15" s="355">
        <v>182868.75</v>
      </c>
      <c r="O15" s="1217">
        <f t="shared" si="3"/>
        <v>306313</v>
      </c>
      <c r="P15" s="438"/>
      <c r="Q15" s="438"/>
      <c r="R15" s="439">
        <v>306313</v>
      </c>
      <c r="S15" s="1217">
        <f t="shared" si="4"/>
        <v>320000</v>
      </c>
      <c r="T15" s="438"/>
      <c r="U15" s="438"/>
      <c r="V15" s="439">
        <f>320000</f>
        <v>320000</v>
      </c>
    </row>
    <row r="16" spans="1:36" s="356" customFormat="1">
      <c r="A16" s="352" t="s">
        <v>182</v>
      </c>
      <c r="B16" s="1234" t="s">
        <v>897</v>
      </c>
      <c r="C16" s="1217">
        <f t="shared" si="0"/>
        <v>0</v>
      </c>
      <c r="D16" s="354"/>
      <c r="E16" s="354"/>
      <c r="F16" s="355"/>
      <c r="G16" s="1217">
        <f t="shared" si="1"/>
        <v>0</v>
      </c>
      <c r="H16" s="354"/>
      <c r="I16" s="354"/>
      <c r="J16" s="439">
        <v>0</v>
      </c>
      <c r="K16" s="1217">
        <f t="shared" si="2"/>
        <v>8784</v>
      </c>
      <c r="L16" s="354"/>
      <c r="M16" s="354"/>
      <c r="N16" s="439">
        <v>8784</v>
      </c>
      <c r="O16" s="1217">
        <f t="shared" si="3"/>
        <v>7454.4</v>
      </c>
      <c r="P16" s="438"/>
      <c r="Q16" s="438"/>
      <c r="R16" s="439">
        <f>3106*12/5</f>
        <v>7454.4</v>
      </c>
      <c r="S16" s="1217">
        <f t="shared" si="4"/>
        <v>8050.7520000000004</v>
      </c>
      <c r="T16" s="438"/>
      <c r="U16" s="438"/>
      <c r="V16" s="439">
        <f>R16*1.08</f>
        <v>8050.7520000000004</v>
      </c>
    </row>
    <row r="17" spans="1:22" s="356" customFormat="1" ht="26.4">
      <c r="A17" s="352" t="s">
        <v>183</v>
      </c>
      <c r="B17" s="1230" t="s">
        <v>155</v>
      </c>
      <c r="C17" s="1217">
        <f t="shared" si="0"/>
        <v>0</v>
      </c>
      <c r="D17" s="354"/>
      <c r="E17" s="354"/>
      <c r="F17" s="355"/>
      <c r="G17" s="1217">
        <f t="shared" si="1"/>
        <v>0</v>
      </c>
      <c r="H17" s="354"/>
      <c r="I17" s="354"/>
      <c r="J17" s="355"/>
      <c r="K17" s="1217">
        <f t="shared" si="2"/>
        <v>0</v>
      </c>
      <c r="L17" s="354"/>
      <c r="M17" s="354"/>
      <c r="N17" s="355"/>
      <c r="O17" s="1217">
        <f t="shared" si="3"/>
        <v>0</v>
      </c>
      <c r="P17" s="354"/>
      <c r="Q17" s="354"/>
      <c r="R17" s="355"/>
      <c r="S17" s="1217">
        <f t="shared" si="4"/>
        <v>0</v>
      </c>
      <c r="T17" s="354"/>
      <c r="U17" s="354"/>
      <c r="V17" s="355"/>
    </row>
    <row r="18" spans="1:22" s="356" customFormat="1">
      <c r="A18" s="352" t="s">
        <v>635</v>
      </c>
      <c r="B18" s="1231" t="s">
        <v>146</v>
      </c>
      <c r="C18" s="1217">
        <f t="shared" si="0"/>
        <v>0</v>
      </c>
      <c r="D18" s="354"/>
      <c r="E18" s="354"/>
      <c r="F18" s="355"/>
      <c r="G18" s="1217">
        <f t="shared" si="1"/>
        <v>0</v>
      </c>
      <c r="H18" s="354"/>
      <c r="I18" s="354"/>
      <c r="J18" s="355"/>
      <c r="K18" s="1217">
        <f t="shared" si="2"/>
        <v>0</v>
      </c>
      <c r="L18" s="354"/>
      <c r="M18" s="354"/>
      <c r="N18" s="355"/>
      <c r="O18" s="1217">
        <f t="shared" si="3"/>
        <v>0</v>
      </c>
      <c r="P18" s="354"/>
      <c r="Q18" s="354"/>
      <c r="R18" s="355"/>
      <c r="S18" s="1217">
        <f t="shared" si="4"/>
        <v>0</v>
      </c>
      <c r="T18" s="354"/>
      <c r="U18" s="354"/>
      <c r="V18" s="355"/>
    </row>
    <row r="19" spans="1:22" s="341" customFormat="1">
      <c r="A19" s="360"/>
      <c r="B19" s="1235" t="s">
        <v>74</v>
      </c>
      <c r="C19" s="361">
        <f t="shared" si="0"/>
        <v>1342385.0336</v>
      </c>
      <c r="D19" s="362">
        <f>SUM(D6:D18)</f>
        <v>1143446</v>
      </c>
      <c r="E19" s="363">
        <f>SUM(E6:E18)</f>
        <v>7044</v>
      </c>
      <c r="F19" s="364">
        <f>SUM(F6:F18)</f>
        <v>191895.0336</v>
      </c>
      <c r="G19" s="361">
        <f t="shared" si="1"/>
        <v>1588269.5799999998</v>
      </c>
      <c r="H19" s="362">
        <f>SUM(H6:H18)</f>
        <v>1212037</v>
      </c>
      <c r="I19" s="363">
        <f>SUM(I6:I18)</f>
        <v>6553.66</v>
      </c>
      <c r="J19" s="364">
        <f>SUM(J6:J18)</f>
        <v>369678.92</v>
      </c>
      <c r="K19" s="1218">
        <f t="shared" si="2"/>
        <v>1970968.2275</v>
      </c>
      <c r="L19" s="362">
        <f>SUM(L6:L18)</f>
        <v>1423753</v>
      </c>
      <c r="M19" s="363">
        <f>SUM(M6:M18)</f>
        <v>25646</v>
      </c>
      <c r="N19" s="364">
        <f>SUM(N6:N18)</f>
        <v>521569.22749999998</v>
      </c>
      <c r="O19" s="1218">
        <f t="shared" si="3"/>
        <v>2056572.9158053538</v>
      </c>
      <c r="P19" s="362">
        <f>SUM(P6:P18)</f>
        <v>1517107.5198899999</v>
      </c>
      <c r="Q19" s="363">
        <f>SUM(Q6:Q18)</f>
        <v>0</v>
      </c>
      <c r="R19" s="364">
        <f>SUM(R6:R18)</f>
        <v>539465.39591535402</v>
      </c>
      <c r="S19" s="1218">
        <f t="shared" si="4"/>
        <v>2997660.5252356776</v>
      </c>
      <c r="T19" s="362">
        <f>SUM(T6:T18)</f>
        <v>2573159.7732356777</v>
      </c>
      <c r="U19" s="363">
        <f>SUM(U6:U18)</f>
        <v>0</v>
      </c>
      <c r="V19" s="364">
        <f>SUM(V6:V18)</f>
        <v>424500.75199999998</v>
      </c>
    </row>
    <row r="20" spans="1:22" s="341" customFormat="1">
      <c r="A20" s="365" t="s">
        <v>13</v>
      </c>
      <c r="B20" s="1236" t="s">
        <v>322</v>
      </c>
      <c r="C20" s="366">
        <f t="shared" ref="C20" si="5">SUM(C21:C28)</f>
        <v>2082551</v>
      </c>
      <c r="D20" s="366">
        <f t="shared" ref="D20:G20" si="6">SUM(D21:D28)</f>
        <v>2082551</v>
      </c>
      <c r="E20" s="366">
        <f t="shared" si="6"/>
        <v>0</v>
      </c>
      <c r="F20" s="367">
        <f t="shared" si="6"/>
        <v>0</v>
      </c>
      <c r="G20" s="366">
        <f t="shared" si="6"/>
        <v>393456.92000000004</v>
      </c>
      <c r="H20" s="366">
        <f t="shared" ref="H20:K20" si="7">SUM(H21:H28)</f>
        <v>393456.92000000004</v>
      </c>
      <c r="I20" s="366">
        <f t="shared" si="7"/>
        <v>0</v>
      </c>
      <c r="J20" s="367">
        <f t="shared" si="7"/>
        <v>0</v>
      </c>
      <c r="K20" s="1270">
        <f t="shared" si="7"/>
        <v>4390</v>
      </c>
      <c r="L20" s="366">
        <f t="shared" ref="L20:R20" si="8">SUM(L21:L28)</f>
        <v>4390</v>
      </c>
      <c r="M20" s="366">
        <f t="shared" si="8"/>
        <v>0</v>
      </c>
      <c r="N20" s="367">
        <f t="shared" si="8"/>
        <v>0</v>
      </c>
      <c r="O20" s="1270">
        <f t="shared" si="8"/>
        <v>0</v>
      </c>
      <c r="P20" s="366">
        <f t="shared" si="8"/>
        <v>0</v>
      </c>
      <c r="Q20" s="366">
        <f t="shared" si="8"/>
        <v>0</v>
      </c>
      <c r="R20" s="367">
        <f t="shared" si="8"/>
        <v>0</v>
      </c>
      <c r="S20" s="1270">
        <f t="shared" ref="S20:V20" si="9">SUM(S21:S28)</f>
        <v>0</v>
      </c>
      <c r="T20" s="366">
        <f t="shared" si="9"/>
        <v>0</v>
      </c>
      <c r="U20" s="366">
        <f t="shared" si="9"/>
        <v>0</v>
      </c>
      <c r="V20" s="367">
        <f t="shared" si="9"/>
        <v>0</v>
      </c>
    </row>
    <row r="21" spans="1:22" s="341" customFormat="1">
      <c r="A21" s="368" t="s">
        <v>14</v>
      </c>
      <c r="B21" s="692" t="s">
        <v>394</v>
      </c>
      <c r="C21" s="1217">
        <f t="shared" ref="C21:C29" si="10">SUM(D21:F21)</f>
        <v>0</v>
      </c>
      <c r="D21" s="354"/>
      <c r="E21" s="354"/>
      <c r="F21" s="355"/>
      <c r="G21" s="1217">
        <f t="shared" ref="G21:G29" si="11">SUM(H21:J21)</f>
        <v>41666.660000000003</v>
      </c>
      <c r="H21" s="438">
        <v>41666.660000000003</v>
      </c>
      <c r="I21" s="354"/>
      <c r="J21" s="355"/>
      <c r="K21" s="1217">
        <f t="shared" ref="K21:K29" si="12">SUM(L21:N21)</f>
        <v>0</v>
      </c>
      <c r="L21" s="438"/>
      <c r="M21" s="354"/>
      <c r="N21" s="355"/>
      <c r="O21" s="1217">
        <f t="shared" ref="O21:O29" si="13">SUM(P21:R21)</f>
        <v>0</v>
      </c>
      <c r="P21" s="354"/>
      <c r="Q21" s="354"/>
      <c r="R21" s="355"/>
      <c r="S21" s="1217">
        <f t="shared" ref="S21:S29" si="14">SUM(T21:V21)</f>
        <v>0</v>
      </c>
      <c r="T21" s="354"/>
      <c r="U21" s="354"/>
      <c r="V21" s="355"/>
    </row>
    <row r="22" spans="1:22" s="341" customFormat="1">
      <c r="A22" s="368" t="s">
        <v>15</v>
      </c>
      <c r="B22" s="692" t="s">
        <v>395</v>
      </c>
      <c r="C22" s="1217">
        <f t="shared" si="10"/>
        <v>0</v>
      </c>
      <c r="D22" s="354"/>
      <c r="E22" s="354"/>
      <c r="F22" s="355"/>
      <c r="G22" s="1217">
        <f t="shared" si="11"/>
        <v>0</v>
      </c>
      <c r="H22" s="438"/>
      <c r="I22" s="354"/>
      <c r="J22" s="355"/>
      <c r="K22" s="1217">
        <f t="shared" si="12"/>
        <v>0</v>
      </c>
      <c r="L22" s="438"/>
      <c r="M22" s="354"/>
      <c r="N22" s="355"/>
      <c r="O22" s="1217">
        <f t="shared" si="13"/>
        <v>0</v>
      </c>
      <c r="P22" s="354"/>
      <c r="Q22" s="354"/>
      <c r="R22" s="355"/>
      <c r="S22" s="1217">
        <f t="shared" si="14"/>
        <v>0</v>
      </c>
      <c r="T22" s="354"/>
      <c r="U22" s="354"/>
      <c r="V22" s="355"/>
    </row>
    <row r="23" spans="1:22" s="341" customFormat="1">
      <c r="A23" s="368" t="s">
        <v>16</v>
      </c>
      <c r="B23" s="1237" t="s">
        <v>396</v>
      </c>
      <c r="C23" s="1217">
        <f t="shared" si="10"/>
        <v>0</v>
      </c>
      <c r="D23" s="354"/>
      <c r="E23" s="354"/>
      <c r="F23" s="355"/>
      <c r="G23" s="1217">
        <f t="shared" si="11"/>
        <v>0</v>
      </c>
      <c r="H23" s="438"/>
      <c r="I23" s="354"/>
      <c r="J23" s="355"/>
      <c r="K23" s="1217">
        <f t="shared" si="12"/>
        <v>0</v>
      </c>
      <c r="L23" s="438"/>
      <c r="M23" s="354"/>
      <c r="N23" s="355"/>
      <c r="O23" s="1217">
        <f t="shared" si="13"/>
        <v>0</v>
      </c>
      <c r="P23" s="354"/>
      <c r="Q23" s="354"/>
      <c r="R23" s="355"/>
      <c r="S23" s="1217">
        <f t="shared" si="14"/>
        <v>0</v>
      </c>
      <c r="T23" s="354"/>
      <c r="U23" s="354"/>
      <c r="V23" s="355"/>
    </row>
    <row r="24" spans="1:22" s="341" customFormat="1">
      <c r="A24" s="368" t="s">
        <v>17</v>
      </c>
      <c r="B24" s="692" t="s">
        <v>397</v>
      </c>
      <c r="C24" s="1217">
        <f t="shared" si="10"/>
        <v>0</v>
      </c>
      <c r="D24" s="354"/>
      <c r="E24" s="354"/>
      <c r="F24" s="355"/>
      <c r="G24" s="1217">
        <f t="shared" si="11"/>
        <v>0</v>
      </c>
      <c r="H24" s="438"/>
      <c r="I24" s="354"/>
      <c r="J24" s="355"/>
      <c r="K24" s="1217">
        <f t="shared" si="12"/>
        <v>0</v>
      </c>
      <c r="L24" s="844"/>
      <c r="M24" s="354"/>
      <c r="N24" s="355"/>
      <c r="O24" s="1217">
        <f t="shared" si="13"/>
        <v>0</v>
      </c>
      <c r="P24" s="354"/>
      <c r="Q24" s="354"/>
      <c r="R24" s="355"/>
      <c r="S24" s="1217">
        <f t="shared" si="14"/>
        <v>0</v>
      </c>
      <c r="T24" s="354"/>
      <c r="U24" s="354"/>
      <c r="V24" s="355"/>
    </row>
    <row r="25" spans="1:22" s="341" customFormat="1">
      <c r="A25" s="368" t="s">
        <v>345</v>
      </c>
      <c r="B25" s="692" t="s">
        <v>320</v>
      </c>
      <c r="C25" s="1217">
        <f t="shared" si="10"/>
        <v>510</v>
      </c>
      <c r="D25" s="354">
        <v>510</v>
      </c>
      <c r="E25" s="354"/>
      <c r="F25" s="355"/>
      <c r="G25" s="1217">
        <f t="shared" si="11"/>
        <v>0</v>
      </c>
      <c r="H25" s="438"/>
      <c r="I25" s="354"/>
      <c r="J25" s="355"/>
      <c r="K25" s="1217">
        <f t="shared" si="12"/>
        <v>4390</v>
      </c>
      <c r="L25" s="438">
        <f>4390</f>
        <v>4390</v>
      </c>
      <c r="M25" s="354"/>
      <c r="N25" s="355"/>
      <c r="O25" s="1217">
        <f t="shared" si="13"/>
        <v>0</v>
      </c>
      <c r="P25" s="354"/>
      <c r="Q25" s="354"/>
      <c r="R25" s="355"/>
      <c r="S25" s="1217">
        <f t="shared" si="14"/>
        <v>0</v>
      </c>
      <c r="T25" s="354"/>
      <c r="U25" s="354"/>
      <c r="V25" s="355"/>
    </row>
    <row r="26" spans="1:22" s="341" customFormat="1">
      <c r="A26" s="368" t="s">
        <v>346</v>
      </c>
      <c r="B26" s="692" t="s">
        <v>321</v>
      </c>
      <c r="C26" s="1217">
        <f t="shared" si="10"/>
        <v>0</v>
      </c>
      <c r="D26" s="354"/>
      <c r="E26" s="354"/>
      <c r="F26" s="355"/>
      <c r="G26" s="1217">
        <f t="shared" si="11"/>
        <v>0</v>
      </c>
      <c r="H26" s="438"/>
      <c r="I26" s="354"/>
      <c r="J26" s="355"/>
      <c r="K26" s="1217">
        <f t="shared" si="12"/>
        <v>0</v>
      </c>
      <c r="L26" s="438"/>
      <c r="M26" s="354"/>
      <c r="N26" s="355"/>
      <c r="O26" s="1217">
        <f t="shared" si="13"/>
        <v>0</v>
      </c>
      <c r="P26" s="354"/>
      <c r="Q26" s="354"/>
      <c r="R26" s="355"/>
      <c r="S26" s="1217">
        <f t="shared" si="14"/>
        <v>0</v>
      </c>
      <c r="T26" s="354"/>
      <c r="U26" s="354"/>
      <c r="V26" s="355"/>
    </row>
    <row r="27" spans="1:22" s="341" customFormat="1">
      <c r="A27" s="368" t="s">
        <v>347</v>
      </c>
      <c r="B27" s="692" t="s">
        <v>352</v>
      </c>
      <c r="C27" s="1217">
        <f t="shared" si="10"/>
        <v>2082041</v>
      </c>
      <c r="D27" s="354">
        <v>2082041</v>
      </c>
      <c r="E27" s="354"/>
      <c r="F27" s="355"/>
      <c r="G27" s="1217">
        <f t="shared" si="11"/>
        <v>351790.26</v>
      </c>
      <c r="H27" s="438">
        <v>351790.26</v>
      </c>
      <c r="I27" s="354"/>
      <c r="J27" s="355"/>
      <c r="K27" s="1217">
        <f t="shared" si="12"/>
        <v>0</v>
      </c>
      <c r="L27" s="438"/>
      <c r="M27" s="354"/>
      <c r="N27" s="355"/>
      <c r="O27" s="1217">
        <f t="shared" si="13"/>
        <v>0</v>
      </c>
      <c r="P27" s="354"/>
      <c r="Q27" s="354"/>
      <c r="R27" s="355"/>
      <c r="S27" s="1217">
        <f t="shared" si="14"/>
        <v>0</v>
      </c>
      <c r="T27" s="354"/>
      <c r="U27" s="354"/>
      <c r="V27" s="355"/>
    </row>
    <row r="28" spans="1:22" s="356" customFormat="1">
      <c r="A28" s="368" t="s">
        <v>348</v>
      </c>
      <c r="B28" s="1238" t="s">
        <v>398</v>
      </c>
      <c r="C28" s="1217">
        <f t="shared" si="10"/>
        <v>0</v>
      </c>
      <c r="D28" s="354"/>
      <c r="E28" s="354"/>
      <c r="F28" s="355"/>
      <c r="G28" s="1217">
        <f t="shared" si="11"/>
        <v>0</v>
      </c>
      <c r="H28" s="354"/>
      <c r="I28" s="354"/>
      <c r="J28" s="355"/>
      <c r="K28" s="1217">
        <f t="shared" si="12"/>
        <v>0</v>
      </c>
      <c r="L28" s="354"/>
      <c r="M28" s="354"/>
      <c r="N28" s="355"/>
      <c r="O28" s="1217">
        <f t="shared" si="13"/>
        <v>0</v>
      </c>
      <c r="P28" s="354"/>
      <c r="Q28" s="354"/>
      <c r="R28" s="355"/>
      <c r="S28" s="1217">
        <f t="shared" si="14"/>
        <v>0</v>
      </c>
      <c r="T28" s="354"/>
      <c r="U28" s="354"/>
      <c r="V28" s="355"/>
    </row>
    <row r="29" spans="1:22" s="341" customFormat="1">
      <c r="A29" s="360"/>
      <c r="B29" s="1235" t="s">
        <v>65</v>
      </c>
      <c r="C29" s="1218">
        <f t="shared" si="10"/>
        <v>3424936.0336000002</v>
      </c>
      <c r="D29" s="362">
        <f>SUM(D19+D20)</f>
        <v>3225997</v>
      </c>
      <c r="E29" s="362">
        <f>SUM(E19+E20)</f>
        <v>7044</v>
      </c>
      <c r="F29" s="364">
        <f>SUM(F19+F20)</f>
        <v>191895.0336</v>
      </c>
      <c r="G29" s="1218">
        <f t="shared" si="11"/>
        <v>1981726.4999999998</v>
      </c>
      <c r="H29" s="362">
        <f>SUM(H19+H20)</f>
        <v>1605493.92</v>
      </c>
      <c r="I29" s="362">
        <f>SUM(I19+I20)</f>
        <v>6553.66</v>
      </c>
      <c r="J29" s="364">
        <f>SUM(J19+J20)</f>
        <v>369678.92</v>
      </c>
      <c r="K29" s="1218">
        <f t="shared" si="12"/>
        <v>1975358.2275</v>
      </c>
      <c r="L29" s="362">
        <f>SUM(L19+L20)</f>
        <v>1428143</v>
      </c>
      <c r="M29" s="362">
        <f>SUM(M19+M20)</f>
        <v>25646</v>
      </c>
      <c r="N29" s="364">
        <f>SUM(N19+N20)</f>
        <v>521569.22749999998</v>
      </c>
      <c r="O29" s="1218">
        <f t="shared" si="13"/>
        <v>2056572.9158053538</v>
      </c>
      <c r="P29" s="362">
        <f>SUM(P19+P20)</f>
        <v>1517107.5198899999</v>
      </c>
      <c r="Q29" s="362">
        <f>SUM(Q19+Q20)</f>
        <v>0</v>
      </c>
      <c r="R29" s="364">
        <f>SUM(R19+R20)</f>
        <v>539465.39591535402</v>
      </c>
      <c r="S29" s="1218">
        <f t="shared" si="14"/>
        <v>2997660.5252356776</v>
      </c>
      <c r="T29" s="362">
        <f>SUM(T19+T20)</f>
        <v>2573159.7732356777</v>
      </c>
      <c r="U29" s="362">
        <f>SUM(U19+U20)</f>
        <v>0</v>
      </c>
      <c r="V29" s="364">
        <f>SUM(V19+V20)</f>
        <v>424500.75199999998</v>
      </c>
    </row>
    <row r="30" spans="1:22" s="351" customFormat="1" ht="15.6">
      <c r="A30" s="371" t="s">
        <v>18</v>
      </c>
      <c r="B30" s="1239" t="s">
        <v>44</v>
      </c>
      <c r="C30" s="1219"/>
      <c r="D30" s="372"/>
      <c r="E30" s="372"/>
      <c r="F30" s="373"/>
      <c r="G30" s="359"/>
      <c r="H30" s="372"/>
      <c r="I30" s="372"/>
      <c r="J30" s="373"/>
      <c r="K30" s="1219"/>
      <c r="L30" s="372"/>
      <c r="M30" s="372"/>
      <c r="N30" s="373"/>
      <c r="O30" s="1219"/>
      <c r="P30" s="372"/>
      <c r="Q30" s="372"/>
      <c r="R30" s="373"/>
      <c r="S30" s="1219"/>
      <c r="T30" s="372"/>
      <c r="U30" s="372"/>
      <c r="V30" s="373"/>
    </row>
    <row r="31" spans="1:22" s="356" customFormat="1">
      <c r="A31" s="345" t="s">
        <v>19</v>
      </c>
      <c r="B31" s="1240" t="s">
        <v>219</v>
      </c>
      <c r="C31" s="1219"/>
      <c r="D31" s="375"/>
      <c r="E31" s="369"/>
      <c r="F31" s="1268"/>
      <c r="G31" s="1219"/>
      <c r="H31" s="375"/>
      <c r="I31" s="369"/>
      <c r="J31" s="1268"/>
      <c r="K31" s="1226"/>
      <c r="L31" s="375"/>
      <c r="M31" s="369"/>
      <c r="N31" s="1268"/>
      <c r="O31" s="1219"/>
      <c r="P31" s="374"/>
      <c r="Q31" s="374"/>
      <c r="R31" s="373"/>
      <c r="S31" s="1219"/>
      <c r="T31" s="374"/>
      <c r="U31" s="374"/>
      <c r="V31" s="373"/>
    </row>
    <row r="32" spans="1:22" s="356" customFormat="1">
      <c r="A32" s="376" t="s">
        <v>91</v>
      </c>
      <c r="B32" s="1241" t="s">
        <v>186</v>
      </c>
      <c r="C32" s="1217">
        <f t="shared" ref="C32:C67" si="15">SUM(D32:F32)</f>
        <v>41444.18</v>
      </c>
      <c r="D32" s="354">
        <v>39393.800000000003</v>
      </c>
      <c r="E32" s="354"/>
      <c r="F32" s="355">
        <v>2050.38</v>
      </c>
      <c r="G32" s="1217">
        <f t="shared" ref="G32:G41" si="16">SUM(H32:J32)</f>
        <v>47392.2</v>
      </c>
      <c r="H32" s="354">
        <v>46909.899999999994</v>
      </c>
      <c r="I32" s="354"/>
      <c r="J32" s="355">
        <v>482.3</v>
      </c>
      <c r="K32" s="1217">
        <f t="shared" ref="K32:K41" si="17">SUM(L32:N32)</f>
        <v>48629.08</v>
      </c>
      <c r="L32" s="438">
        <v>48626.740000000005</v>
      </c>
      <c r="M32" s="354"/>
      <c r="N32" s="355">
        <v>2.34</v>
      </c>
      <c r="O32" s="1217">
        <f t="shared" ref="O32:O41" si="18">SUM(P32:R32)</f>
        <v>52440.218480000018</v>
      </c>
      <c r="P32" s="353">
        <f>'6. Keskkonnatasud'!N1185</f>
        <v>52440.218480000018</v>
      </c>
      <c r="Q32" s="354"/>
      <c r="R32" s="358">
        <f>'6. Keskkonnatasud'!O1185</f>
        <v>0</v>
      </c>
      <c r="S32" s="1217">
        <f t="shared" ref="S32:S41" si="19">SUM(T32:V32)</f>
        <v>52499.217258302473</v>
      </c>
      <c r="T32" s="353">
        <f>'6. Keskkonnatasud'!N1487</f>
        <v>52499.217258302473</v>
      </c>
      <c r="U32" s="354"/>
      <c r="V32" s="358">
        <f>'6. Keskkonnatasud'!O1487</f>
        <v>0</v>
      </c>
    </row>
    <row r="33" spans="1:22" s="356" customFormat="1">
      <c r="A33" s="376" t="s">
        <v>20</v>
      </c>
      <c r="B33" s="1241" t="s">
        <v>190</v>
      </c>
      <c r="C33" s="1217">
        <f t="shared" si="15"/>
        <v>18036.46</v>
      </c>
      <c r="D33" s="354">
        <v>6210.6999999999989</v>
      </c>
      <c r="E33" s="354"/>
      <c r="F33" s="355">
        <v>11825.76</v>
      </c>
      <c r="G33" s="1217">
        <f t="shared" si="16"/>
        <v>21168.799999999999</v>
      </c>
      <c r="H33" s="354">
        <v>5164.1999999999989</v>
      </c>
      <c r="I33" s="354"/>
      <c r="J33" s="355">
        <v>16004.6</v>
      </c>
      <c r="K33" s="1217">
        <f t="shared" si="17"/>
        <v>16189.64</v>
      </c>
      <c r="L33" s="438">
        <v>4834.3499999999985</v>
      </c>
      <c r="M33" s="354"/>
      <c r="N33" s="355">
        <v>11355.29</v>
      </c>
      <c r="O33" s="1217">
        <f t="shared" si="18"/>
        <v>16490.675323905005</v>
      </c>
      <c r="P33" s="353">
        <f>'6. Keskkonnatasud'!M1050-R33</f>
        <v>5402.5870506814681</v>
      </c>
      <c r="Q33" s="354"/>
      <c r="R33" s="358">
        <f>'6. Keskkonnatasud'!O1050+('3. Üldiseloomustus'!G81*'6. Keskkonnatasud'!S1050)</f>
        <v>11088.088273223537</v>
      </c>
      <c r="S33" s="1217">
        <f t="shared" si="19"/>
        <v>4756.6501497097461</v>
      </c>
      <c r="T33" s="353">
        <f>'6. Keskkonnatasud'!M1352-V33</f>
        <v>4723.0481586974865</v>
      </c>
      <c r="U33" s="354"/>
      <c r="V33" s="358">
        <f>'6. Keskkonnatasud'!O1352+('3. Üldiseloomustus'!H81*'6. Keskkonnatasud'!S1352)</f>
        <v>33.601991012259369</v>
      </c>
    </row>
    <row r="34" spans="1:22" s="341" customFormat="1">
      <c r="A34" s="376" t="s">
        <v>21</v>
      </c>
      <c r="B34" s="1241" t="s">
        <v>156</v>
      </c>
      <c r="C34" s="1217">
        <f t="shared" si="15"/>
        <v>0</v>
      </c>
      <c r="D34" s="354"/>
      <c r="E34" s="354"/>
      <c r="F34" s="355"/>
      <c r="G34" s="1217">
        <f t="shared" si="16"/>
        <v>0</v>
      </c>
      <c r="H34" s="354"/>
      <c r="I34" s="354"/>
      <c r="J34" s="355"/>
      <c r="K34" s="1217">
        <f t="shared" si="17"/>
        <v>0</v>
      </c>
      <c r="L34" s="438"/>
      <c r="M34" s="354"/>
      <c r="N34" s="355"/>
      <c r="O34" s="1217">
        <f t="shared" si="18"/>
        <v>0</v>
      </c>
      <c r="P34" s="354"/>
      <c r="Q34" s="354"/>
      <c r="R34" s="355"/>
      <c r="S34" s="1217">
        <f t="shared" si="19"/>
        <v>0</v>
      </c>
      <c r="T34" s="354"/>
      <c r="U34" s="354"/>
      <c r="V34" s="355"/>
    </row>
    <row r="35" spans="1:22" s="341" customFormat="1">
      <c r="A35" s="376" t="s">
        <v>22</v>
      </c>
      <c r="B35" s="1241" t="s">
        <v>88</v>
      </c>
      <c r="C35" s="1217">
        <f t="shared" si="15"/>
        <v>1766</v>
      </c>
      <c r="D35" s="354">
        <v>1766</v>
      </c>
      <c r="E35" s="354"/>
      <c r="F35" s="355"/>
      <c r="G35" s="1217">
        <f t="shared" si="16"/>
        <v>295.5</v>
      </c>
      <c r="H35" s="354">
        <v>295.5</v>
      </c>
      <c r="I35" s="354"/>
      <c r="J35" s="355"/>
      <c r="K35" s="1217">
        <f t="shared" si="17"/>
        <v>273.00000000000006</v>
      </c>
      <c r="L35" s="438">
        <v>265.20000000000005</v>
      </c>
      <c r="M35" s="354"/>
      <c r="N35" s="439">
        <v>7.8000000000000007</v>
      </c>
      <c r="O35" s="1217">
        <f t="shared" si="18"/>
        <v>2273</v>
      </c>
      <c r="P35" s="354">
        <v>2273</v>
      </c>
      <c r="Q35" s="354"/>
      <c r="R35" s="355"/>
      <c r="S35" s="1217">
        <f t="shared" si="19"/>
        <v>2329.8249999999998</v>
      </c>
      <c r="T35" s="354">
        <f>P35*1.025</f>
        <v>2329.8249999999998</v>
      </c>
      <c r="U35" s="354"/>
      <c r="V35" s="355"/>
    </row>
    <row r="36" spans="1:22" s="341" customFormat="1">
      <c r="A36" s="376" t="s">
        <v>23</v>
      </c>
      <c r="B36" s="1241" t="s">
        <v>89</v>
      </c>
      <c r="C36" s="1217">
        <f t="shared" si="15"/>
        <v>4125.83</v>
      </c>
      <c r="D36" s="354">
        <v>4125.83</v>
      </c>
      <c r="E36" s="354"/>
      <c r="F36" s="355"/>
      <c r="G36" s="1217">
        <f t="shared" si="16"/>
        <v>4129.84</v>
      </c>
      <c r="H36" s="354">
        <v>4129.84</v>
      </c>
      <c r="I36" s="354"/>
      <c r="J36" s="355"/>
      <c r="K36" s="1217">
        <f t="shared" si="17"/>
        <v>4142.3099999999995</v>
      </c>
      <c r="L36" s="438">
        <v>4142.3099999999995</v>
      </c>
      <c r="M36" s="354"/>
      <c r="N36" s="355"/>
      <c r="O36" s="1217">
        <f t="shared" si="18"/>
        <v>4142.3100000000004</v>
      </c>
      <c r="P36" s="354">
        <f>4142.31-1</f>
        <v>4141.3100000000004</v>
      </c>
      <c r="Q36" s="354"/>
      <c r="R36" s="355">
        <v>1</v>
      </c>
      <c r="S36" s="1217">
        <f t="shared" si="19"/>
        <v>4245.8427499999998</v>
      </c>
      <c r="T36" s="354">
        <f>P36*1.025</f>
        <v>4244.8427499999998</v>
      </c>
      <c r="U36" s="354"/>
      <c r="V36" s="355">
        <v>1</v>
      </c>
    </row>
    <row r="37" spans="1:22" s="341" customFormat="1">
      <c r="A37" s="376" t="s">
        <v>59</v>
      </c>
      <c r="B37" s="1242" t="s">
        <v>1122</v>
      </c>
      <c r="C37" s="1217">
        <f t="shared" si="15"/>
        <v>24459.78</v>
      </c>
      <c r="D37" s="353">
        <f>'1. OST-MÜÜK'!F17</f>
        <v>24459.78</v>
      </c>
      <c r="E37" s="354"/>
      <c r="F37" s="355"/>
      <c r="G37" s="1217">
        <f t="shared" si="16"/>
        <v>73726.28</v>
      </c>
      <c r="H37" s="353">
        <f>'1. OST-MÜÜK'!K17</f>
        <v>73726.28</v>
      </c>
      <c r="I37" s="354"/>
      <c r="J37" s="355"/>
      <c r="K37" s="1217">
        <f t="shared" si="17"/>
        <v>40061.18</v>
      </c>
      <c r="L37" s="353">
        <f>'1. OST-MÜÜK'!P17</f>
        <v>40061.18</v>
      </c>
      <c r="M37" s="354"/>
      <c r="N37" s="355"/>
      <c r="O37" s="1217">
        <f t="shared" si="18"/>
        <v>12972.84</v>
      </c>
      <c r="P37" s="353">
        <f>'1. OST-MÜÜK'!U17</f>
        <v>12972.84</v>
      </c>
      <c r="Q37" s="354"/>
      <c r="R37" s="355"/>
      <c r="S37" s="1217">
        <f t="shared" si="19"/>
        <v>16930.3</v>
      </c>
      <c r="T37" s="353">
        <f>'1. OST-MÜÜK'!Z17</f>
        <v>16930.3</v>
      </c>
      <c r="U37" s="354"/>
      <c r="V37" s="355"/>
    </row>
    <row r="38" spans="1:22" s="341" customFormat="1">
      <c r="A38" s="376" t="s">
        <v>1118</v>
      </c>
      <c r="B38" s="1242" t="s">
        <v>1123</v>
      </c>
      <c r="C38" s="1217">
        <f t="shared" si="15"/>
        <v>299840.27999999997</v>
      </c>
      <c r="D38" s="353">
        <f>'1. OST-MÜÜK'!F18</f>
        <v>299840.27999999997</v>
      </c>
      <c r="E38" s="354"/>
      <c r="F38" s="355"/>
      <c r="G38" s="1217">
        <f t="shared" si="16"/>
        <v>292778.61199999996</v>
      </c>
      <c r="H38" s="353">
        <f>'1. OST-MÜÜK'!K18</f>
        <v>292778.61199999996</v>
      </c>
      <c r="I38" s="354"/>
      <c r="J38" s="355"/>
      <c r="K38" s="1217">
        <f t="shared" si="17"/>
        <v>390565.31999999995</v>
      </c>
      <c r="L38" s="353">
        <f>'1. OST-MÜÜK'!P18-N38</f>
        <v>387922.91999999993</v>
      </c>
      <c r="M38" s="354"/>
      <c r="N38" s="358">
        <f>'1. OST-MÜÜK'!L11*'3. Üldiseloomustus'!F75</f>
        <v>2642.4</v>
      </c>
      <c r="O38" s="1217">
        <f t="shared" si="18"/>
        <v>401115.29399999999</v>
      </c>
      <c r="P38" s="353">
        <f>'1. OST-MÜÜK'!U18-R38</f>
        <v>397947.29399999999</v>
      </c>
      <c r="Q38" s="354"/>
      <c r="R38" s="358">
        <f>'1. OST-MÜÜK'!Q11*'3. Üldiseloomustus'!G75</f>
        <v>3168</v>
      </c>
      <c r="S38" s="1217">
        <f t="shared" si="19"/>
        <v>425167.74400000001</v>
      </c>
      <c r="T38" s="353">
        <f>'1. OST-MÜÜK'!Z18-V38</f>
        <v>421647.74400000001</v>
      </c>
      <c r="U38" s="354"/>
      <c r="V38" s="358">
        <f>'1. OST-MÜÜK'!V11*'3. Üldiseloomustus'!H75</f>
        <v>3520</v>
      </c>
    </row>
    <row r="39" spans="1:22" s="341" customFormat="1">
      <c r="A39" s="376" t="s">
        <v>1119</v>
      </c>
      <c r="B39" s="1241" t="s">
        <v>1113</v>
      </c>
      <c r="C39" s="1217">
        <f t="shared" si="15"/>
        <v>0</v>
      </c>
      <c r="D39" s="354"/>
      <c r="E39" s="354"/>
      <c r="F39" s="355"/>
      <c r="G39" s="1217">
        <f t="shared" si="16"/>
        <v>0</v>
      </c>
      <c r="H39" s="354"/>
      <c r="I39" s="354"/>
      <c r="J39" s="355"/>
      <c r="K39" s="1217">
        <f t="shared" si="17"/>
        <v>0</v>
      </c>
      <c r="L39" s="354"/>
      <c r="M39" s="354"/>
      <c r="N39" s="355"/>
      <c r="O39" s="1217">
        <f t="shared" si="18"/>
        <v>0</v>
      </c>
      <c r="P39" s="354"/>
      <c r="Q39" s="354"/>
      <c r="R39" s="355"/>
      <c r="S39" s="1217">
        <f t="shared" si="19"/>
        <v>0</v>
      </c>
      <c r="T39" s="354"/>
      <c r="U39" s="354"/>
      <c r="V39" s="355"/>
    </row>
    <row r="40" spans="1:22" s="341" customFormat="1">
      <c r="A40" s="376" t="s">
        <v>1121</v>
      </c>
      <c r="B40" s="1243" t="s">
        <v>1235</v>
      </c>
      <c r="C40" s="1217">
        <f t="shared" si="15"/>
        <v>0</v>
      </c>
      <c r="D40" s="354"/>
      <c r="E40" s="354"/>
      <c r="F40" s="355"/>
      <c r="G40" s="1217">
        <f t="shared" si="16"/>
        <v>1219</v>
      </c>
      <c r="H40" s="354">
        <v>1219</v>
      </c>
      <c r="I40" s="354"/>
      <c r="J40" s="355"/>
      <c r="K40" s="1217">
        <f t="shared" si="17"/>
        <v>1446.8</v>
      </c>
      <c r="L40" s="354">
        <v>1446.8</v>
      </c>
      <c r="M40" s="354"/>
      <c r="N40" s="355"/>
      <c r="O40" s="1217">
        <f t="shared" si="18"/>
        <v>5136.0437434712203</v>
      </c>
      <c r="P40" s="353">
        <f>'10. Teenuste hinnad'!I6</f>
        <v>5136.0437434712203</v>
      </c>
      <c r="Q40" s="354"/>
      <c r="R40" s="355"/>
      <c r="S40" s="1217">
        <f t="shared" si="19"/>
        <v>5136.0437434712203</v>
      </c>
      <c r="T40" s="353">
        <f>'10. Teenuste hinnad'!I6</f>
        <v>5136.0437434712203</v>
      </c>
      <c r="U40" s="354"/>
      <c r="V40" s="355"/>
    </row>
    <row r="41" spans="1:22" s="356" customFormat="1">
      <c r="A41" s="377"/>
      <c r="B41" s="1244" t="s">
        <v>221</v>
      </c>
      <c r="C41" s="1262">
        <f t="shared" si="15"/>
        <v>389672.52999999997</v>
      </c>
      <c r="D41" s="1263">
        <f>SUM(D32:D40)</f>
        <v>375796.38999999996</v>
      </c>
      <c r="E41" s="1263">
        <f t="shared" ref="E41:F41" si="20">SUM(E32:E40)</f>
        <v>0</v>
      </c>
      <c r="F41" s="1269">
        <f t="shared" si="20"/>
        <v>13876.14</v>
      </c>
      <c r="G41" s="1262">
        <f t="shared" si="16"/>
        <v>440710.23199999996</v>
      </c>
      <c r="H41" s="1263">
        <f>SUM(H32:H40)</f>
        <v>424223.33199999994</v>
      </c>
      <c r="I41" s="1263">
        <f t="shared" ref="I41" si="21">SUM(I32:I40)</f>
        <v>0</v>
      </c>
      <c r="J41" s="1269">
        <f t="shared" ref="J41" si="22">SUM(J32:J40)</f>
        <v>16486.900000000001</v>
      </c>
      <c r="K41" s="1262">
        <f t="shared" si="17"/>
        <v>501307.32999999996</v>
      </c>
      <c r="L41" s="1263">
        <f>SUM(L32:L40)</f>
        <v>487299.49999999994</v>
      </c>
      <c r="M41" s="1263">
        <f t="shared" ref="M41" si="23">SUM(M32:M40)</f>
        <v>0</v>
      </c>
      <c r="N41" s="1269">
        <f t="shared" ref="N41" si="24">SUM(N32:N40)</f>
        <v>14007.83</v>
      </c>
      <c r="O41" s="1262">
        <f t="shared" si="18"/>
        <v>494570.38154737622</v>
      </c>
      <c r="P41" s="1263">
        <f>SUM(P32:P40)</f>
        <v>480313.29327415267</v>
      </c>
      <c r="Q41" s="1263">
        <f t="shared" ref="Q41" si="25">SUM(Q32:Q40)</f>
        <v>0</v>
      </c>
      <c r="R41" s="1269">
        <f t="shared" ref="R41" si="26">SUM(R32:R40)</f>
        <v>14257.088273223537</v>
      </c>
      <c r="S41" s="1262">
        <f t="shared" si="19"/>
        <v>511065.62290148344</v>
      </c>
      <c r="T41" s="1263">
        <f>SUM(T32:T40)</f>
        <v>507511.02091047115</v>
      </c>
      <c r="U41" s="1263">
        <f t="shared" ref="U41:V41" si="27">SUM(U32:U40)</f>
        <v>0</v>
      </c>
      <c r="V41" s="1269">
        <f t="shared" si="27"/>
        <v>3554.6019910122595</v>
      </c>
    </row>
    <row r="42" spans="1:22" s="356" customFormat="1">
      <c r="A42" s="345" t="s">
        <v>24</v>
      </c>
      <c r="B42" s="1245" t="s">
        <v>220</v>
      </c>
      <c r="C42" s="1221"/>
      <c r="D42" s="366"/>
      <c r="E42" s="380"/>
      <c r="F42" s="373"/>
      <c r="G42" s="1221"/>
      <c r="H42" s="366"/>
      <c r="I42" s="380"/>
      <c r="J42" s="373"/>
      <c r="K42" s="1221"/>
      <c r="L42" s="366"/>
      <c r="M42" s="380"/>
      <c r="N42" s="373"/>
      <c r="O42" s="1221"/>
      <c r="P42" s="366"/>
      <c r="Q42" s="380"/>
      <c r="R42" s="373"/>
      <c r="S42" s="1221"/>
      <c r="T42" s="366"/>
      <c r="U42" s="380"/>
      <c r="V42" s="373"/>
    </row>
    <row r="43" spans="1:22" s="341" customFormat="1">
      <c r="A43" s="352" t="s">
        <v>25</v>
      </c>
      <c r="B43" s="358" t="s">
        <v>399</v>
      </c>
      <c r="C43" s="1217">
        <f t="shared" si="15"/>
        <v>73128.289999999994</v>
      </c>
      <c r="D43" s="438">
        <v>72997.899999999994</v>
      </c>
      <c r="E43" s="438"/>
      <c r="F43" s="439">
        <v>130.38999999999999</v>
      </c>
      <c r="G43" s="1217">
        <f t="shared" ref="G43:G97" si="28">SUM(H43:J43)</f>
        <v>157881.37000000014</v>
      </c>
      <c r="H43" s="438">
        <v>157594.96000000014</v>
      </c>
      <c r="I43" s="438"/>
      <c r="J43" s="439">
        <v>286.40999999999997</v>
      </c>
      <c r="K43" s="1217">
        <f t="shared" ref="K43:K97" si="29">SUM(L43:N43)</f>
        <v>143368.66000000009</v>
      </c>
      <c r="L43" s="844">
        <v>143103.2000000001</v>
      </c>
      <c r="M43" s="438"/>
      <c r="N43" s="439">
        <v>265.46000000000004</v>
      </c>
      <c r="O43" s="1217">
        <f t="shared" ref="O43:O97" si="30">SUM(P43:R43)</f>
        <v>117624.16168809051</v>
      </c>
      <c r="P43" s="844">
        <v>116820.23812586657</v>
      </c>
      <c r="Q43" s="438"/>
      <c r="R43" s="845">
        <v>803.92356222393585</v>
      </c>
      <c r="S43" s="1217">
        <f t="shared" ref="S43:S97" si="31">SUM(T43:V43)</f>
        <v>125359.14096024755</v>
      </c>
      <c r="T43" s="533">
        <f>SUM('7. Elekter'!BM109:BN109)</f>
        <v>124507.93719239219</v>
      </c>
      <c r="U43" s="438"/>
      <c r="V43" s="718">
        <f>'7. Elekter'!BO109</f>
        <v>851.20376785536166</v>
      </c>
    </row>
    <row r="44" spans="1:22" s="341" customFormat="1">
      <c r="A44" s="352" t="s">
        <v>26</v>
      </c>
      <c r="B44" s="1246" t="s">
        <v>87</v>
      </c>
      <c r="C44" s="1217">
        <f t="shared" si="15"/>
        <v>5915.59</v>
      </c>
      <c r="D44" s="438">
        <v>5915.59</v>
      </c>
      <c r="E44" s="438"/>
      <c r="F44" s="439"/>
      <c r="G44" s="1217">
        <f t="shared" si="28"/>
        <v>6257.0999999999995</v>
      </c>
      <c r="H44" s="438">
        <v>6257.0999999999995</v>
      </c>
      <c r="I44" s="438"/>
      <c r="J44" s="439"/>
      <c r="K44" s="1217">
        <f t="shared" si="29"/>
        <v>6050.4250000000002</v>
      </c>
      <c r="L44" s="438">
        <v>6008.0987999999998</v>
      </c>
      <c r="M44" s="438"/>
      <c r="N44" s="439">
        <v>42.326200000000007</v>
      </c>
      <c r="O44" s="1217">
        <f t="shared" si="30"/>
        <v>7203.0143119999993</v>
      </c>
      <c r="P44" s="533">
        <f>'8. Kemikaalid'!F209</f>
        <v>7153.9642927999994</v>
      </c>
      <c r="Q44" s="438"/>
      <c r="R44" s="718">
        <f>'8. Kemikaalid'!F210</f>
        <v>49.050019200000008</v>
      </c>
      <c r="S44" s="1217">
        <f t="shared" si="31"/>
        <v>7383.0896697999997</v>
      </c>
      <c r="T44" s="533">
        <f>'8. Kemikaalid'!G209</f>
        <v>7332.8134001199996</v>
      </c>
      <c r="U44" s="438"/>
      <c r="V44" s="718">
        <f>'8. Kemikaalid'!G210</f>
        <v>50.276269680000006</v>
      </c>
    </row>
    <row r="45" spans="1:22" s="341" customFormat="1">
      <c r="A45" s="352" t="s">
        <v>27</v>
      </c>
      <c r="B45" s="1246" t="s">
        <v>192</v>
      </c>
      <c r="C45" s="1217">
        <f t="shared" si="15"/>
        <v>9593.6299999999992</v>
      </c>
      <c r="D45" s="438">
        <v>9571.3799999999992</v>
      </c>
      <c r="E45" s="438"/>
      <c r="F45" s="439">
        <v>22.25</v>
      </c>
      <c r="G45" s="1217">
        <f t="shared" si="28"/>
        <v>19568.320000000011</v>
      </c>
      <c r="H45" s="438">
        <v>19520.900000000012</v>
      </c>
      <c r="I45" s="438"/>
      <c r="J45" s="439">
        <v>47.42</v>
      </c>
      <c r="K45" s="1217">
        <f t="shared" si="29"/>
        <v>20067.790000000008</v>
      </c>
      <c r="L45" s="844">
        <v>19770.62000000001</v>
      </c>
      <c r="M45" s="438"/>
      <c r="N45" s="439">
        <v>297.16999999999996</v>
      </c>
      <c r="O45" s="1217">
        <f t="shared" si="30"/>
        <v>20067.79</v>
      </c>
      <c r="P45" s="844">
        <f>20067.79-29</f>
        <v>20038.79</v>
      </c>
      <c r="Q45" s="438"/>
      <c r="R45" s="439">
        <v>29</v>
      </c>
      <c r="S45" s="1217">
        <f t="shared" si="31"/>
        <v>20570.759749999997</v>
      </c>
      <c r="T45" s="438">
        <f t="shared" ref="T45:T51" si="32">P45*1.025</f>
        <v>20539.759749999997</v>
      </c>
      <c r="U45" s="438"/>
      <c r="V45" s="439">
        <v>31</v>
      </c>
    </row>
    <row r="46" spans="1:22" s="356" customFormat="1">
      <c r="A46" s="352" t="s">
        <v>28</v>
      </c>
      <c r="B46" s="1247" t="s">
        <v>84</v>
      </c>
      <c r="C46" s="1217">
        <f t="shared" si="15"/>
        <v>21284.43</v>
      </c>
      <c r="D46" s="438">
        <f>20968.49-E46</f>
        <v>18855.29</v>
      </c>
      <c r="E46" s="438">
        <f>7044*0.3</f>
        <v>2113.1999999999998</v>
      </c>
      <c r="F46" s="439">
        <v>315.94</v>
      </c>
      <c r="G46" s="1217">
        <f t="shared" si="28"/>
        <v>18710.04</v>
      </c>
      <c r="H46" s="438">
        <f>18359.33-I46</f>
        <v>16393.13</v>
      </c>
      <c r="I46" s="438">
        <f>6554*0.3</f>
        <v>1966.1999999999998</v>
      </c>
      <c r="J46" s="439">
        <v>350.71</v>
      </c>
      <c r="K46" s="1217">
        <f t="shared" si="29"/>
        <v>39815.97</v>
      </c>
      <c r="L46" s="844">
        <f>39662.32-M46+6415-6872</f>
        <v>30229.22</v>
      </c>
      <c r="M46" s="438">
        <f>25646*0.35</f>
        <v>8976.0999999999985</v>
      </c>
      <c r="N46" s="439">
        <v>610.65</v>
      </c>
      <c r="O46" s="1217">
        <f t="shared" si="30"/>
        <v>48695.163999999997</v>
      </c>
      <c r="P46" s="844">
        <f>48695.164-6</f>
        <v>48689.163999999997</v>
      </c>
      <c r="Q46" s="438"/>
      <c r="R46" s="439">
        <v>6</v>
      </c>
      <c r="S46" s="1217">
        <f t="shared" si="31"/>
        <v>61210.622199999998</v>
      </c>
      <c r="T46" s="844">
        <f>P46*(1.025*0+1.05)+10080</f>
        <v>61203.622199999998</v>
      </c>
      <c r="U46" s="844"/>
      <c r="V46" s="845">
        <v>7</v>
      </c>
    </row>
    <row r="47" spans="1:22" s="356" customFormat="1">
      <c r="A47" s="352" t="s">
        <v>29</v>
      </c>
      <c r="B47" s="1247" t="s">
        <v>162</v>
      </c>
      <c r="C47" s="1217">
        <f t="shared" si="15"/>
        <v>16542.11</v>
      </c>
      <c r="D47" s="438">
        <v>13369.09</v>
      </c>
      <c r="E47" s="438"/>
      <c r="F47" s="439">
        <v>3173.02</v>
      </c>
      <c r="G47" s="1217">
        <f t="shared" si="28"/>
        <v>7985.5199999999995</v>
      </c>
      <c r="H47" s="438">
        <v>7985.5199999999995</v>
      </c>
      <c r="I47" s="438"/>
      <c r="J47" s="439"/>
      <c r="K47" s="1217">
        <f t="shared" si="29"/>
        <v>191.54</v>
      </c>
      <c r="L47" s="844">
        <v>191.54</v>
      </c>
      <c r="M47" s="438"/>
      <c r="N47" s="439"/>
      <c r="O47" s="1217">
        <f t="shared" si="30"/>
        <v>191.54</v>
      </c>
      <c r="P47" s="844">
        <v>191.54</v>
      </c>
      <c r="Q47" s="438"/>
      <c r="R47" s="439"/>
      <c r="S47" s="1217">
        <f t="shared" si="31"/>
        <v>196.32849999999996</v>
      </c>
      <c r="T47" s="844">
        <f t="shared" si="32"/>
        <v>196.32849999999996</v>
      </c>
      <c r="U47" s="844"/>
      <c r="V47" s="845"/>
    </row>
    <row r="48" spans="1:22" s="356" customFormat="1">
      <c r="A48" s="352" t="s">
        <v>60</v>
      </c>
      <c r="B48" s="1246" t="s">
        <v>62</v>
      </c>
      <c r="C48" s="1217">
        <f t="shared" si="15"/>
        <v>5563.5</v>
      </c>
      <c r="D48" s="438">
        <v>5009.6099999999997</v>
      </c>
      <c r="E48" s="438"/>
      <c r="F48" s="439">
        <v>553.89</v>
      </c>
      <c r="G48" s="1217">
        <f t="shared" si="28"/>
        <v>8710.7000000000007</v>
      </c>
      <c r="H48" s="438">
        <v>8387.5</v>
      </c>
      <c r="I48" s="438"/>
      <c r="J48" s="439">
        <v>323.2</v>
      </c>
      <c r="K48" s="1217">
        <f t="shared" si="29"/>
        <v>16490.010000000002</v>
      </c>
      <c r="L48" s="844">
        <f>16025.65-6415+6872</f>
        <v>16482.650000000001</v>
      </c>
      <c r="M48" s="438"/>
      <c r="N48" s="439">
        <v>7.36</v>
      </c>
      <c r="O48" s="1217">
        <f t="shared" si="30"/>
        <v>5482.3</v>
      </c>
      <c r="P48" s="844">
        <v>5479.3</v>
      </c>
      <c r="Q48" s="438"/>
      <c r="R48" s="439">
        <v>3</v>
      </c>
      <c r="S48" s="1217">
        <f t="shared" si="31"/>
        <v>18245</v>
      </c>
      <c r="T48" s="844">
        <v>18241</v>
      </c>
      <c r="U48" s="844"/>
      <c r="V48" s="845">
        <v>4</v>
      </c>
    </row>
    <row r="49" spans="1:22" s="356" customFormat="1">
      <c r="A49" s="352" t="s">
        <v>92</v>
      </c>
      <c r="B49" s="1241" t="s">
        <v>45</v>
      </c>
      <c r="C49" s="1217">
        <f t="shared" si="15"/>
        <v>73988.649999999994</v>
      </c>
      <c r="D49" s="438">
        <f>21689.23-E49</f>
        <v>16758.43</v>
      </c>
      <c r="E49" s="438">
        <f>7044*0.7</f>
        <v>4930.7999999999993</v>
      </c>
      <c r="F49" s="439">
        <v>52299.42</v>
      </c>
      <c r="G49" s="1217">
        <f t="shared" si="28"/>
        <v>119921.31000000001</v>
      </c>
      <c r="H49" s="438">
        <f>21323.35+14030+5988-I49</f>
        <v>36753.550000000003</v>
      </c>
      <c r="I49" s="438">
        <f>6554*0.7</f>
        <v>4587.7999999999993</v>
      </c>
      <c r="J49" s="439">
        <v>78579.960000000006</v>
      </c>
      <c r="K49" s="1217">
        <f t="shared" si="29"/>
        <v>104759.04000000002</v>
      </c>
      <c r="L49" s="438">
        <f>72607.92-M49</f>
        <v>55938.02</v>
      </c>
      <c r="M49" s="438">
        <f>25646*0.65</f>
        <v>16669.900000000001</v>
      </c>
      <c r="N49" s="439">
        <v>32151.120000000024</v>
      </c>
      <c r="O49" s="1217">
        <f t="shared" si="30"/>
        <v>171054.921</v>
      </c>
      <c r="P49" s="844">
        <f>81054.921-212</f>
        <v>80842.921000000002</v>
      </c>
      <c r="Q49" s="438"/>
      <c r="R49" s="439">
        <f>90000+212</f>
        <v>90212</v>
      </c>
      <c r="S49" s="1217">
        <f t="shared" si="31"/>
        <v>175331.29402499998</v>
      </c>
      <c r="T49" s="844">
        <f t="shared" si="32"/>
        <v>82863.994024999993</v>
      </c>
      <c r="U49" s="844"/>
      <c r="V49" s="845">
        <f>R49*1.025</f>
        <v>92467.299999999988</v>
      </c>
    </row>
    <row r="50" spans="1:22" s="356" customFormat="1">
      <c r="A50" s="352" t="s">
        <v>93</v>
      </c>
      <c r="B50" s="1241" t="s">
        <v>69</v>
      </c>
      <c r="C50" s="1217">
        <f t="shared" si="15"/>
        <v>8224.68</v>
      </c>
      <c r="D50" s="438">
        <v>7402.2</v>
      </c>
      <c r="E50" s="438"/>
      <c r="F50" s="439">
        <v>822.48</v>
      </c>
      <c r="G50" s="1217">
        <f t="shared" si="28"/>
        <v>9257.5599999999977</v>
      </c>
      <c r="H50" s="438">
        <v>8331.7999999999975</v>
      </c>
      <c r="I50" s="438"/>
      <c r="J50" s="439">
        <v>925.76</v>
      </c>
      <c r="K50" s="1217">
        <f t="shared" si="29"/>
        <v>14480.86</v>
      </c>
      <c r="L50" s="438">
        <v>13032.8</v>
      </c>
      <c r="M50" s="438"/>
      <c r="N50" s="439">
        <v>1448.0600000000004</v>
      </c>
      <c r="O50" s="1217">
        <f t="shared" si="30"/>
        <v>14480.86</v>
      </c>
      <c r="P50" s="844">
        <v>13032.774000000001</v>
      </c>
      <c r="Q50" s="438"/>
      <c r="R50" s="439">
        <v>1448.0860000000002</v>
      </c>
      <c r="S50" s="1217">
        <f t="shared" si="31"/>
        <v>14842.881500000001</v>
      </c>
      <c r="T50" s="844">
        <f t="shared" si="32"/>
        <v>13358.593350000001</v>
      </c>
      <c r="U50" s="844"/>
      <c r="V50" s="845">
        <f>R50*1.025</f>
        <v>1484.2881500000001</v>
      </c>
    </row>
    <row r="51" spans="1:22" s="356" customFormat="1">
      <c r="A51" s="352" t="s">
        <v>94</v>
      </c>
      <c r="B51" s="1241" t="s">
        <v>85</v>
      </c>
      <c r="C51" s="1217">
        <f t="shared" si="15"/>
        <v>2973.12</v>
      </c>
      <c r="D51" s="438">
        <v>2683.85</v>
      </c>
      <c r="E51" s="438"/>
      <c r="F51" s="439">
        <v>289.27</v>
      </c>
      <c r="G51" s="1217">
        <f t="shared" si="28"/>
        <v>1702.2899999999997</v>
      </c>
      <c r="H51" s="438">
        <v>1540.8499999999997</v>
      </c>
      <c r="I51" s="438"/>
      <c r="J51" s="439">
        <v>161.43999999999997</v>
      </c>
      <c r="K51" s="1217">
        <f t="shared" si="29"/>
        <v>606.92000000000007</v>
      </c>
      <c r="L51" s="438">
        <v>546.2700000000001</v>
      </c>
      <c r="M51" s="438"/>
      <c r="N51" s="439">
        <v>60.650000000000006</v>
      </c>
      <c r="O51" s="1217">
        <f t="shared" si="30"/>
        <v>1745.96</v>
      </c>
      <c r="P51" s="844">
        <v>1571.364</v>
      </c>
      <c r="Q51" s="438"/>
      <c r="R51" s="439">
        <v>174.596</v>
      </c>
      <c r="S51" s="1217">
        <f t="shared" si="31"/>
        <v>1789.6089999999999</v>
      </c>
      <c r="T51" s="844">
        <f t="shared" si="32"/>
        <v>1610.6480999999999</v>
      </c>
      <c r="U51" s="844"/>
      <c r="V51" s="845">
        <f>R51*1.025</f>
        <v>178.96089999999998</v>
      </c>
    </row>
    <row r="52" spans="1:22" s="356" customFormat="1">
      <c r="A52" s="352" t="s">
        <v>230</v>
      </c>
      <c r="B52" s="1241" t="s">
        <v>194</v>
      </c>
      <c r="C52" s="1217">
        <f t="shared" si="15"/>
        <v>43570.03</v>
      </c>
      <c r="D52" s="353">
        <f>SUM(D53:D59)</f>
        <v>29952.85</v>
      </c>
      <c r="E52" s="353">
        <f>SUM(E53:E59)</f>
        <v>0</v>
      </c>
      <c r="F52" s="358">
        <f>SUM(F53:F59)</f>
        <v>13617.18</v>
      </c>
      <c r="G52" s="1217">
        <f t="shared" si="28"/>
        <v>80800.27999999997</v>
      </c>
      <c r="H52" s="353">
        <f>SUM(H53:H59)</f>
        <v>41165.309999999969</v>
      </c>
      <c r="I52" s="353">
        <f>SUM(I53:I59)</f>
        <v>0</v>
      </c>
      <c r="J52" s="358">
        <f>SUM(J53:J59)</f>
        <v>39634.97</v>
      </c>
      <c r="K52" s="1217">
        <f t="shared" si="29"/>
        <v>97452.849999999977</v>
      </c>
      <c r="L52" s="353">
        <f>SUM(L53:L59)</f>
        <v>68157.409999999974</v>
      </c>
      <c r="M52" s="353">
        <f>SUM(M53:M59)</f>
        <v>0</v>
      </c>
      <c r="N52" s="358">
        <f>SUM(N53:N59)</f>
        <v>29295.439999999995</v>
      </c>
      <c r="O52" s="1217">
        <f t="shared" si="30"/>
        <v>111045.42300000002</v>
      </c>
      <c r="P52" s="353">
        <f>SUM(P53:P59)</f>
        <v>94343.580200000026</v>
      </c>
      <c r="Q52" s="353">
        <f>SUM(Q53:Q59)</f>
        <v>0</v>
      </c>
      <c r="R52" s="358">
        <f>SUM(R53:R59)</f>
        <v>16701.842799999999</v>
      </c>
      <c r="S52" s="1217">
        <f t="shared" si="31"/>
        <v>113821.85857500001</v>
      </c>
      <c r="T52" s="353">
        <f>SUM(T53:T59)</f>
        <v>96702.169705000008</v>
      </c>
      <c r="U52" s="353">
        <f>SUM(U53:U59)</f>
        <v>0</v>
      </c>
      <c r="V52" s="358">
        <f>SUM(V53:V59)</f>
        <v>17119.688869999998</v>
      </c>
    </row>
    <row r="53" spans="1:22" s="499" customFormat="1">
      <c r="A53" s="825" t="s">
        <v>803</v>
      </c>
      <c r="B53" s="1248" t="s">
        <v>480</v>
      </c>
      <c r="C53" s="1223">
        <f t="shared" si="15"/>
        <v>21880.61</v>
      </c>
      <c r="D53" s="502">
        <v>15741.83</v>
      </c>
      <c r="E53" s="502"/>
      <c r="F53" s="503">
        <v>6138.78</v>
      </c>
      <c r="G53" s="1223">
        <f t="shared" si="28"/>
        <v>34759.609999999979</v>
      </c>
      <c r="H53" s="502">
        <v>21626.489999999983</v>
      </c>
      <c r="I53" s="502"/>
      <c r="J53" s="503">
        <v>13133.119999999995</v>
      </c>
      <c r="K53" s="1223">
        <f t="shared" si="29"/>
        <v>35257.729999999981</v>
      </c>
      <c r="L53" s="502">
        <v>24111.449999999983</v>
      </c>
      <c r="M53" s="502"/>
      <c r="N53" s="503">
        <v>11146.279999999997</v>
      </c>
      <c r="O53" s="1223">
        <f t="shared" si="30"/>
        <v>61638.684000000001</v>
      </c>
      <c r="P53" s="502">
        <f>47766.684-42</f>
        <v>47724.684000000001</v>
      </c>
      <c r="Q53" s="502"/>
      <c r="R53" s="503">
        <f>13872+42</f>
        <v>13914</v>
      </c>
      <c r="S53" s="1223">
        <f t="shared" si="31"/>
        <v>63179.651099999995</v>
      </c>
      <c r="T53" s="502">
        <f t="shared" ref="T53:T58" si="33">P53*1.025</f>
        <v>48917.801099999997</v>
      </c>
      <c r="U53" s="502"/>
      <c r="V53" s="503">
        <f t="shared" ref="V53:V54" si="34">R53*1.025</f>
        <v>14261.849999999999</v>
      </c>
    </row>
    <row r="54" spans="1:22" s="499" customFormat="1">
      <c r="A54" s="825" t="s">
        <v>804</v>
      </c>
      <c r="B54" s="1248" t="s">
        <v>481</v>
      </c>
      <c r="C54" s="1223">
        <f t="shared" si="15"/>
        <v>11451.13</v>
      </c>
      <c r="D54" s="502">
        <v>10317.299999999999</v>
      </c>
      <c r="E54" s="502"/>
      <c r="F54" s="503">
        <v>1133.83</v>
      </c>
      <c r="G54" s="1223">
        <f t="shared" si="28"/>
        <v>16666.549999999992</v>
      </c>
      <c r="H54" s="502">
        <v>13031.80999999999</v>
      </c>
      <c r="I54" s="502"/>
      <c r="J54" s="503">
        <v>3634.7400000000007</v>
      </c>
      <c r="K54" s="1223">
        <f t="shared" si="29"/>
        <v>25089.479999999992</v>
      </c>
      <c r="L54" s="502">
        <v>24274.439999999991</v>
      </c>
      <c r="M54" s="502"/>
      <c r="N54" s="503">
        <v>815.04000000000008</v>
      </c>
      <c r="O54" s="1223">
        <f t="shared" si="30"/>
        <v>27598.428</v>
      </c>
      <c r="P54" s="502">
        <v>24838.585200000001</v>
      </c>
      <c r="Q54" s="502"/>
      <c r="R54" s="503">
        <v>2759.8428000000004</v>
      </c>
      <c r="S54" s="1223">
        <f t="shared" si="31"/>
        <v>28288.3887</v>
      </c>
      <c r="T54" s="502">
        <f t="shared" si="33"/>
        <v>25459.54983</v>
      </c>
      <c r="U54" s="502"/>
      <c r="V54" s="503">
        <f t="shared" si="34"/>
        <v>2828.83887</v>
      </c>
    </row>
    <row r="55" spans="1:22" s="499" customFormat="1">
      <c r="A55" s="825" t="s">
        <v>805</v>
      </c>
      <c r="B55" s="1248" t="s">
        <v>482</v>
      </c>
      <c r="C55" s="1223">
        <f t="shared" si="15"/>
        <v>257</v>
      </c>
      <c r="D55" s="502">
        <v>247.83</v>
      </c>
      <c r="E55" s="502"/>
      <c r="F55" s="503">
        <v>9.17</v>
      </c>
      <c r="G55" s="1223">
        <f t="shared" si="28"/>
        <v>58.129999999999995</v>
      </c>
      <c r="H55" s="502">
        <v>58.129999999999995</v>
      </c>
      <c r="I55" s="502"/>
      <c r="J55" s="503"/>
      <c r="K55" s="1223">
        <f t="shared" si="29"/>
        <v>181.20999999999998</v>
      </c>
      <c r="L55" s="502">
        <v>179.89</v>
      </c>
      <c r="M55" s="502"/>
      <c r="N55" s="503">
        <v>1.32</v>
      </c>
      <c r="O55" s="1223">
        <f t="shared" si="30"/>
        <v>199.33100000000002</v>
      </c>
      <c r="P55" s="502">
        <v>199.33100000000002</v>
      </c>
      <c r="Q55" s="502"/>
      <c r="R55" s="503"/>
      <c r="S55" s="1223">
        <f t="shared" si="31"/>
        <v>204.31427500000001</v>
      </c>
      <c r="T55" s="502">
        <f t="shared" si="33"/>
        <v>204.31427500000001</v>
      </c>
      <c r="U55" s="502"/>
      <c r="V55" s="503"/>
    </row>
    <row r="56" spans="1:22" s="499" customFormat="1">
      <c r="A56" s="825" t="s">
        <v>806</v>
      </c>
      <c r="B56" s="1248" t="s">
        <v>483</v>
      </c>
      <c r="C56" s="1223">
        <f t="shared" si="15"/>
        <v>8774.9</v>
      </c>
      <c r="D56" s="502">
        <v>2439.5</v>
      </c>
      <c r="E56" s="502"/>
      <c r="F56" s="503">
        <v>6335.4</v>
      </c>
      <c r="G56" s="1223">
        <f t="shared" si="28"/>
        <v>28130.870000000003</v>
      </c>
      <c r="H56" s="502">
        <v>5263.76</v>
      </c>
      <c r="I56" s="502"/>
      <c r="J56" s="503">
        <v>22867.11</v>
      </c>
      <c r="K56" s="1223">
        <f t="shared" si="29"/>
        <v>35874.46</v>
      </c>
      <c r="L56" s="502">
        <v>18541.66</v>
      </c>
      <c r="M56" s="502"/>
      <c r="N56" s="503">
        <v>17332.8</v>
      </c>
      <c r="O56" s="1223">
        <f t="shared" si="30"/>
        <v>20559.010000000002</v>
      </c>
      <c r="P56" s="502">
        <f>39921.01-19362-28</f>
        <v>20531.010000000002</v>
      </c>
      <c r="Q56" s="502"/>
      <c r="R56" s="503">
        <v>28</v>
      </c>
      <c r="S56" s="1223">
        <f t="shared" si="31"/>
        <v>21073.285250000001</v>
      </c>
      <c r="T56" s="502">
        <f t="shared" si="33"/>
        <v>21044.285250000001</v>
      </c>
      <c r="U56" s="502"/>
      <c r="V56" s="503">
        <v>29</v>
      </c>
    </row>
    <row r="57" spans="1:22" s="499" customFormat="1">
      <c r="A57" s="825" t="s">
        <v>807</v>
      </c>
      <c r="B57" s="1249" t="s">
        <v>822</v>
      </c>
      <c r="C57" s="1223">
        <f t="shared" si="15"/>
        <v>400.79</v>
      </c>
      <c r="D57" s="502">
        <v>400.79</v>
      </c>
      <c r="E57" s="502"/>
      <c r="F57" s="503"/>
      <c r="G57" s="1223">
        <f t="shared" si="28"/>
        <v>361.52000000000004</v>
      </c>
      <c r="H57" s="502">
        <v>361.52000000000004</v>
      </c>
      <c r="I57" s="502"/>
      <c r="J57" s="503"/>
      <c r="K57" s="1223">
        <f t="shared" si="29"/>
        <v>226.36999999999998</v>
      </c>
      <c r="L57" s="502">
        <v>226.36999999999998</v>
      </c>
      <c r="M57" s="502"/>
      <c r="N57" s="503"/>
      <c r="O57" s="1223">
        <f t="shared" si="30"/>
        <v>226.37</v>
      </c>
      <c r="P57" s="502">
        <v>226.37</v>
      </c>
      <c r="Q57" s="502"/>
      <c r="R57" s="503"/>
      <c r="S57" s="1223">
        <f t="shared" si="31"/>
        <v>232.02924999999999</v>
      </c>
      <c r="T57" s="502">
        <f t="shared" si="33"/>
        <v>232.02924999999999</v>
      </c>
      <c r="U57" s="502"/>
      <c r="V57" s="503"/>
    </row>
    <row r="58" spans="1:22" s="499" customFormat="1">
      <c r="A58" s="825" t="s">
        <v>808</v>
      </c>
      <c r="B58" s="1249" t="s">
        <v>823</v>
      </c>
      <c r="C58" s="1223">
        <f t="shared" si="15"/>
        <v>805.6</v>
      </c>
      <c r="D58" s="502">
        <v>805.6</v>
      </c>
      <c r="E58" s="502"/>
      <c r="F58" s="503"/>
      <c r="G58" s="1223">
        <f t="shared" si="28"/>
        <v>823.59999999999991</v>
      </c>
      <c r="H58" s="502">
        <v>823.59999999999991</v>
      </c>
      <c r="I58" s="502"/>
      <c r="J58" s="503"/>
      <c r="K58" s="1223">
        <f t="shared" si="29"/>
        <v>823.59999999999991</v>
      </c>
      <c r="L58" s="502">
        <v>823.59999999999991</v>
      </c>
      <c r="M58" s="502"/>
      <c r="N58" s="503"/>
      <c r="O58" s="1223">
        <f t="shared" si="30"/>
        <v>823.6</v>
      </c>
      <c r="P58" s="502">
        <v>823.6</v>
      </c>
      <c r="Q58" s="502"/>
      <c r="R58" s="503"/>
      <c r="S58" s="1223">
        <f t="shared" si="31"/>
        <v>844.18999999999994</v>
      </c>
      <c r="T58" s="502">
        <f t="shared" si="33"/>
        <v>844.18999999999994</v>
      </c>
      <c r="U58" s="502"/>
      <c r="V58" s="503"/>
    </row>
    <row r="59" spans="1:22" s="499" customFormat="1">
      <c r="A59" s="825" t="s">
        <v>821</v>
      </c>
      <c r="B59" s="1248" t="s">
        <v>801</v>
      </c>
      <c r="C59" s="1223">
        <f t="shared" si="15"/>
        <v>0</v>
      </c>
      <c r="D59" s="500"/>
      <c r="E59" s="500"/>
      <c r="F59" s="501"/>
      <c r="G59" s="1223">
        <f t="shared" si="28"/>
        <v>0</v>
      </c>
      <c r="H59" s="500"/>
      <c r="I59" s="500"/>
      <c r="J59" s="501"/>
      <c r="K59" s="1223">
        <f t="shared" si="29"/>
        <v>0</v>
      </c>
      <c r="L59" s="500"/>
      <c r="M59" s="500"/>
      <c r="N59" s="501"/>
      <c r="O59" s="1223">
        <f t="shared" si="30"/>
        <v>0</v>
      </c>
      <c r="P59" s="502"/>
      <c r="Q59" s="500"/>
      <c r="R59" s="501"/>
      <c r="S59" s="1223">
        <f t="shared" si="31"/>
        <v>0</v>
      </c>
      <c r="T59" s="502"/>
      <c r="U59" s="500"/>
      <c r="V59" s="501"/>
    </row>
    <row r="60" spans="1:22" s="356" customFormat="1">
      <c r="A60" s="352" t="s">
        <v>231</v>
      </c>
      <c r="B60" s="1241" t="s">
        <v>46</v>
      </c>
      <c r="C60" s="1217">
        <f t="shared" si="15"/>
        <v>3130.71</v>
      </c>
      <c r="D60" s="354">
        <v>2976.38</v>
      </c>
      <c r="E60" s="354"/>
      <c r="F60" s="355">
        <v>154.33000000000001</v>
      </c>
      <c r="G60" s="1217">
        <f t="shared" si="28"/>
        <v>2619.7700000000004</v>
      </c>
      <c r="H60" s="438">
        <v>2420.9800000000005</v>
      </c>
      <c r="I60" s="438"/>
      <c r="J60" s="439">
        <v>198.79000000000002</v>
      </c>
      <c r="K60" s="1217">
        <f t="shared" si="29"/>
        <v>11463.360000000006</v>
      </c>
      <c r="L60" s="438">
        <v>11218.790000000006</v>
      </c>
      <c r="M60" s="438"/>
      <c r="N60" s="439">
        <v>244.57</v>
      </c>
      <c r="O60" s="1217">
        <f t="shared" si="30"/>
        <v>18636</v>
      </c>
      <c r="P60" s="438">
        <v>18377</v>
      </c>
      <c r="Q60" s="438"/>
      <c r="R60" s="439">
        <v>259</v>
      </c>
      <c r="S60" s="1217">
        <f t="shared" si="31"/>
        <v>19200</v>
      </c>
      <c r="T60" s="438">
        <f>P60*1.025*0+19200-V60</f>
        <v>18928</v>
      </c>
      <c r="U60" s="438"/>
      <c r="V60" s="439">
        <f>272</f>
        <v>272</v>
      </c>
    </row>
    <row r="61" spans="1:22" s="356" customFormat="1">
      <c r="A61" s="352" t="s">
        <v>95</v>
      </c>
      <c r="B61" s="1241" t="s">
        <v>47</v>
      </c>
      <c r="C61" s="1217">
        <f t="shared" si="15"/>
        <v>3574.1</v>
      </c>
      <c r="D61" s="354">
        <v>3218.04</v>
      </c>
      <c r="E61" s="354"/>
      <c r="F61" s="355">
        <v>356.06</v>
      </c>
      <c r="G61" s="1217">
        <f t="shared" si="28"/>
        <v>4537.9800000000005</v>
      </c>
      <c r="H61" s="438">
        <v>4317.88</v>
      </c>
      <c r="I61" s="438"/>
      <c r="J61" s="439">
        <v>220.10000000000011</v>
      </c>
      <c r="K61" s="1217">
        <f t="shared" si="29"/>
        <v>5428.0899999999938</v>
      </c>
      <c r="L61" s="438">
        <v>5161.849999999994</v>
      </c>
      <c r="M61" s="438"/>
      <c r="N61" s="439">
        <v>266.2399999999999</v>
      </c>
      <c r="O61" s="1217">
        <f t="shared" si="30"/>
        <v>6505.09</v>
      </c>
      <c r="P61" s="438">
        <f>6049.74-8</f>
        <v>6041.74</v>
      </c>
      <c r="Q61" s="438"/>
      <c r="R61" s="439">
        <f>455.35+8</f>
        <v>463.35</v>
      </c>
      <c r="S61" s="1217">
        <f t="shared" si="31"/>
        <v>6667.7172499999997</v>
      </c>
      <c r="T61" s="438">
        <f t="shared" ref="T61:T63" si="35">P61*1.025</f>
        <v>6192.7834999999995</v>
      </c>
      <c r="U61" s="438"/>
      <c r="V61" s="439">
        <f t="shared" ref="V61:V66" si="36">R61*1.025</f>
        <v>474.93374999999997</v>
      </c>
    </row>
    <row r="62" spans="1:22" s="356" customFormat="1">
      <c r="A62" s="352" t="s">
        <v>96</v>
      </c>
      <c r="B62" s="1231" t="s">
        <v>63</v>
      </c>
      <c r="C62" s="1217">
        <f t="shared" si="15"/>
        <v>7674.86</v>
      </c>
      <c r="D62" s="354">
        <v>7066.99</v>
      </c>
      <c r="E62" s="354"/>
      <c r="F62" s="355">
        <v>607.87</v>
      </c>
      <c r="G62" s="1217">
        <f t="shared" si="28"/>
        <v>7128.5399999999972</v>
      </c>
      <c r="H62" s="438">
        <v>6498.2699999999968</v>
      </c>
      <c r="I62" s="438"/>
      <c r="J62" s="439">
        <v>630.27</v>
      </c>
      <c r="K62" s="1217">
        <f t="shared" si="29"/>
        <v>7974.2900000000063</v>
      </c>
      <c r="L62" s="438">
        <v>7193.4700000000066</v>
      </c>
      <c r="M62" s="438"/>
      <c r="N62" s="439">
        <v>780.82</v>
      </c>
      <c r="O62" s="1217">
        <f t="shared" si="30"/>
        <v>8593.3700000000008</v>
      </c>
      <c r="P62" s="438">
        <v>7734.0330000000004</v>
      </c>
      <c r="Q62" s="438"/>
      <c r="R62" s="439">
        <v>859.3370000000001</v>
      </c>
      <c r="S62" s="1217">
        <f t="shared" si="31"/>
        <v>8808.2042500000007</v>
      </c>
      <c r="T62" s="438">
        <f t="shared" si="35"/>
        <v>7927.3838249999999</v>
      </c>
      <c r="U62" s="438"/>
      <c r="V62" s="439">
        <f t="shared" si="36"/>
        <v>880.820425</v>
      </c>
    </row>
    <row r="63" spans="1:22" s="356" customFormat="1">
      <c r="A63" s="352" t="s">
        <v>97</v>
      </c>
      <c r="B63" s="1231" t="s">
        <v>48</v>
      </c>
      <c r="C63" s="1217">
        <f t="shared" si="15"/>
        <v>4987.1000000000004</v>
      </c>
      <c r="D63" s="354">
        <v>4551.12</v>
      </c>
      <c r="E63" s="354"/>
      <c r="F63" s="355">
        <v>435.98</v>
      </c>
      <c r="G63" s="1217">
        <f t="shared" si="28"/>
        <v>2825.7699999999995</v>
      </c>
      <c r="H63" s="438">
        <f>7704.41-5988</f>
        <v>1716.4099999999999</v>
      </c>
      <c r="I63" s="438"/>
      <c r="J63" s="439">
        <v>1109.3599999999999</v>
      </c>
      <c r="K63" s="1217">
        <f t="shared" si="29"/>
        <v>2010.5800000000002</v>
      </c>
      <c r="L63" s="438">
        <v>1932.5400000000002</v>
      </c>
      <c r="M63" s="438"/>
      <c r="N63" s="439">
        <v>78.039999999999992</v>
      </c>
      <c r="O63" s="1217">
        <f t="shared" si="30"/>
        <v>4180.38</v>
      </c>
      <c r="P63" s="438">
        <v>3762.3420000000001</v>
      </c>
      <c r="Q63" s="438"/>
      <c r="R63" s="439">
        <v>418.03800000000001</v>
      </c>
      <c r="S63" s="1217">
        <f t="shared" si="31"/>
        <v>4284.8895000000002</v>
      </c>
      <c r="T63" s="438">
        <f t="shared" si="35"/>
        <v>3856.4005499999998</v>
      </c>
      <c r="U63" s="438"/>
      <c r="V63" s="439">
        <f t="shared" si="36"/>
        <v>428.48894999999999</v>
      </c>
    </row>
    <row r="64" spans="1:22" s="356" customFormat="1">
      <c r="A64" s="352" t="s">
        <v>98</v>
      </c>
      <c r="B64" s="1231" t="s">
        <v>2</v>
      </c>
      <c r="C64" s="1217">
        <f t="shared" si="15"/>
        <v>0</v>
      </c>
      <c r="D64" s="354"/>
      <c r="E64" s="354"/>
      <c r="F64" s="355"/>
      <c r="G64" s="1217">
        <f t="shared" si="28"/>
        <v>0</v>
      </c>
      <c r="H64" s="438"/>
      <c r="I64" s="438"/>
      <c r="J64" s="439"/>
      <c r="K64" s="1217">
        <f t="shared" si="29"/>
        <v>0</v>
      </c>
      <c r="L64" s="438"/>
      <c r="M64" s="438"/>
      <c r="N64" s="439"/>
      <c r="O64" s="1217">
        <f t="shared" si="30"/>
        <v>0</v>
      </c>
      <c r="P64" s="438"/>
      <c r="Q64" s="438"/>
      <c r="R64" s="439"/>
      <c r="S64" s="1217">
        <f t="shared" si="31"/>
        <v>0</v>
      </c>
      <c r="T64" s="438"/>
      <c r="U64" s="438"/>
      <c r="V64" s="439">
        <f t="shared" si="36"/>
        <v>0</v>
      </c>
    </row>
    <row r="65" spans="1:22" s="356" customFormat="1">
      <c r="A65" s="352" t="s">
        <v>99</v>
      </c>
      <c r="B65" s="1231" t="s">
        <v>49</v>
      </c>
      <c r="C65" s="1217">
        <f t="shared" si="15"/>
        <v>458.33</v>
      </c>
      <c r="D65" s="354">
        <v>440.83</v>
      </c>
      <c r="E65" s="354"/>
      <c r="F65" s="355">
        <v>17.5</v>
      </c>
      <c r="G65" s="1217">
        <f t="shared" si="28"/>
        <v>1176</v>
      </c>
      <c r="H65" s="438">
        <v>1103.5</v>
      </c>
      <c r="I65" s="438"/>
      <c r="J65" s="439">
        <v>72.5</v>
      </c>
      <c r="K65" s="1217">
        <f t="shared" si="29"/>
        <v>136.99999999999997</v>
      </c>
      <c r="L65" s="438">
        <v>123.29999999999998</v>
      </c>
      <c r="M65" s="438"/>
      <c r="N65" s="439">
        <v>13.700000000000001</v>
      </c>
      <c r="O65" s="1217">
        <f t="shared" si="30"/>
        <v>1028</v>
      </c>
      <c r="P65" s="438">
        <v>925.2</v>
      </c>
      <c r="Q65" s="438"/>
      <c r="R65" s="439">
        <v>102.80000000000001</v>
      </c>
      <c r="S65" s="1217">
        <f t="shared" si="31"/>
        <v>1053.6999999999998</v>
      </c>
      <c r="T65" s="438">
        <f t="shared" ref="T65" si="37">P65*1.025</f>
        <v>948.32999999999993</v>
      </c>
      <c r="U65" s="438"/>
      <c r="V65" s="439">
        <f t="shared" si="36"/>
        <v>105.37</v>
      </c>
    </row>
    <row r="66" spans="1:22" s="356" customFormat="1">
      <c r="A66" s="352" t="s">
        <v>100</v>
      </c>
      <c r="B66" s="1231" t="s">
        <v>3</v>
      </c>
      <c r="C66" s="1217">
        <f t="shared" si="15"/>
        <v>653.95999999999992</v>
      </c>
      <c r="D66" s="354">
        <v>600.66</v>
      </c>
      <c r="E66" s="354"/>
      <c r="F66" s="355">
        <v>53.3</v>
      </c>
      <c r="G66" s="1217">
        <f t="shared" si="28"/>
        <v>124</v>
      </c>
      <c r="H66" s="438">
        <v>124</v>
      </c>
      <c r="I66" s="438"/>
      <c r="J66" s="439">
        <v>0</v>
      </c>
      <c r="K66" s="1217">
        <f t="shared" si="29"/>
        <v>395</v>
      </c>
      <c r="L66" s="438">
        <v>355.5</v>
      </c>
      <c r="M66" s="438"/>
      <c r="N66" s="439">
        <v>39.5</v>
      </c>
      <c r="O66" s="1217">
        <f t="shared" si="30"/>
        <v>0</v>
      </c>
      <c r="P66" s="438"/>
      <c r="Q66" s="438"/>
      <c r="R66" s="439"/>
      <c r="S66" s="1217">
        <f t="shared" si="31"/>
        <v>609.05466666666666</v>
      </c>
      <c r="T66" s="438">
        <f>AVERAGE(D66,H66,L66,P66)*1.025+240</f>
        <v>609.05466666666666</v>
      </c>
      <c r="U66" s="438"/>
      <c r="V66" s="439">
        <f t="shared" si="36"/>
        <v>0</v>
      </c>
    </row>
    <row r="67" spans="1:22" s="356" customFormat="1">
      <c r="A67" s="352" t="s">
        <v>101</v>
      </c>
      <c r="B67" s="1250" t="s">
        <v>70</v>
      </c>
      <c r="C67" s="1217">
        <f t="shared" si="15"/>
        <v>37085.79</v>
      </c>
      <c r="D67" s="353">
        <f>SUM(D68:D76)</f>
        <v>36883.79</v>
      </c>
      <c r="E67" s="353">
        <f>SUM(E68:E76)</f>
        <v>0</v>
      </c>
      <c r="F67" s="358">
        <f>SUM(F68:F76)</f>
        <v>202</v>
      </c>
      <c r="G67" s="1217">
        <f t="shared" si="28"/>
        <v>56246.889999999992</v>
      </c>
      <c r="H67" s="353">
        <f>SUM(H68:H76)</f>
        <v>55945.389999999992</v>
      </c>
      <c r="I67" s="353">
        <f>SUM(I68:I76)</f>
        <v>0</v>
      </c>
      <c r="J67" s="358">
        <f>SUM(J68:J76)</f>
        <v>301.5</v>
      </c>
      <c r="K67" s="1217">
        <f t="shared" si="29"/>
        <v>74171.76999999999</v>
      </c>
      <c r="L67" s="353">
        <f>SUM(L68:L76)</f>
        <v>72519.12999999999</v>
      </c>
      <c r="M67" s="353">
        <f>SUM(M68:M76)</f>
        <v>0</v>
      </c>
      <c r="N67" s="358">
        <f>SUM(N68:N76)</f>
        <v>1652.6399999999999</v>
      </c>
      <c r="O67" s="1217">
        <f t="shared" si="30"/>
        <v>92458.95424271989</v>
      </c>
      <c r="P67" s="353">
        <f>SUM(P68:P76)</f>
        <v>89977.158842719888</v>
      </c>
      <c r="Q67" s="353">
        <f>SUM(Q68:Q76)</f>
        <v>0</v>
      </c>
      <c r="R67" s="358">
        <f>SUM(R68:R76)</f>
        <v>2481.7954</v>
      </c>
      <c r="S67" s="1217">
        <f t="shared" si="31"/>
        <v>95365.653103051271</v>
      </c>
      <c r="T67" s="353">
        <f>SUM(T68:T76)</f>
        <v>92821.812818051272</v>
      </c>
      <c r="U67" s="353">
        <f>SUM(U68:U76)</f>
        <v>0</v>
      </c>
      <c r="V67" s="358">
        <f>SUM(V68:V76)</f>
        <v>2543.8402850000002</v>
      </c>
    </row>
    <row r="68" spans="1:22" s="499" customFormat="1">
      <c r="A68" s="825" t="s">
        <v>793</v>
      </c>
      <c r="B68" s="1248" t="s">
        <v>626</v>
      </c>
      <c r="C68" s="1223">
        <f t="shared" ref="C68:C97" si="38">SUM(D68:F68)</f>
        <v>3694.94</v>
      </c>
      <c r="D68" s="502">
        <v>3694.94</v>
      </c>
      <c r="E68" s="502"/>
      <c r="F68" s="503"/>
      <c r="G68" s="1223">
        <f t="shared" si="28"/>
        <v>859.06000000000006</v>
      </c>
      <c r="H68" s="502">
        <v>859.06000000000006</v>
      </c>
      <c r="I68" s="502"/>
      <c r="J68" s="503"/>
      <c r="K68" s="1223">
        <f t="shared" si="29"/>
        <v>1194.8699999999999</v>
      </c>
      <c r="L68" s="502">
        <v>1194.8699999999999</v>
      </c>
      <c r="M68" s="502"/>
      <c r="N68" s="503"/>
      <c r="O68" s="1223">
        <f t="shared" si="30"/>
        <v>1916</v>
      </c>
      <c r="P68" s="502">
        <v>1916</v>
      </c>
      <c r="Q68" s="500"/>
      <c r="R68" s="501"/>
      <c r="S68" s="1223">
        <f t="shared" si="31"/>
        <v>1916</v>
      </c>
      <c r="T68" s="502">
        <f>P68*1.025*0+1916</f>
        <v>1916</v>
      </c>
      <c r="U68" s="502"/>
      <c r="V68" s="503"/>
    </row>
    <row r="69" spans="1:22" s="499" customFormat="1">
      <c r="A69" s="825" t="s">
        <v>794</v>
      </c>
      <c r="B69" s="1248" t="s">
        <v>627</v>
      </c>
      <c r="C69" s="1223">
        <f t="shared" si="38"/>
        <v>0</v>
      </c>
      <c r="D69" s="502"/>
      <c r="E69" s="502"/>
      <c r="F69" s="503"/>
      <c r="G69" s="1223">
        <f t="shared" si="28"/>
        <v>0</v>
      </c>
      <c r="H69" s="502"/>
      <c r="I69" s="502"/>
      <c r="J69" s="503"/>
      <c r="K69" s="1223">
        <f t="shared" si="29"/>
        <v>0</v>
      </c>
      <c r="L69" s="502">
        <f>32781.75*0</f>
        <v>0</v>
      </c>
      <c r="M69" s="502"/>
      <c r="N69" s="503"/>
      <c r="O69" s="1223">
        <f t="shared" si="30"/>
        <v>0</v>
      </c>
      <c r="P69" s="502"/>
      <c r="Q69" s="500"/>
      <c r="R69" s="501"/>
      <c r="S69" s="1223">
        <f t="shared" si="31"/>
        <v>0</v>
      </c>
      <c r="T69" s="502"/>
      <c r="U69" s="502"/>
      <c r="V69" s="503"/>
    </row>
    <row r="70" spans="1:22" s="499" customFormat="1">
      <c r="A70" s="825" t="s">
        <v>795</v>
      </c>
      <c r="B70" s="1248" t="s">
        <v>628</v>
      </c>
      <c r="C70" s="1223">
        <f t="shared" si="38"/>
        <v>1170</v>
      </c>
      <c r="D70" s="502">
        <v>1053</v>
      </c>
      <c r="E70" s="502"/>
      <c r="F70" s="503">
        <v>117</v>
      </c>
      <c r="G70" s="1223">
        <f t="shared" si="28"/>
        <v>1170</v>
      </c>
      <c r="H70" s="502">
        <v>1053</v>
      </c>
      <c r="I70" s="502"/>
      <c r="J70" s="503">
        <v>117</v>
      </c>
      <c r="K70" s="1223">
        <f t="shared" si="29"/>
        <v>1975.0300000000004</v>
      </c>
      <c r="L70" s="502">
        <v>1737.4800000000005</v>
      </c>
      <c r="M70" s="502"/>
      <c r="N70" s="503">
        <v>237.54999999999998</v>
      </c>
      <c r="O70" s="1223">
        <f t="shared" si="30"/>
        <v>0</v>
      </c>
      <c r="P70" s="502"/>
      <c r="Q70" s="500"/>
      <c r="R70" s="501"/>
      <c r="S70" s="1223">
        <f t="shared" si="31"/>
        <v>0</v>
      </c>
      <c r="T70" s="502"/>
      <c r="U70" s="502"/>
      <c r="V70" s="503"/>
    </row>
    <row r="71" spans="1:22" s="499" customFormat="1">
      <c r="A71" s="825" t="s">
        <v>796</v>
      </c>
      <c r="B71" s="1248" t="s">
        <v>802</v>
      </c>
      <c r="C71" s="1223">
        <f t="shared" si="38"/>
        <v>7305</v>
      </c>
      <c r="D71" s="502">
        <v>7220</v>
      </c>
      <c r="E71" s="502"/>
      <c r="F71" s="503">
        <v>85</v>
      </c>
      <c r="G71" s="1223">
        <f t="shared" si="28"/>
        <v>12350</v>
      </c>
      <c r="H71" s="502">
        <v>12350</v>
      </c>
      <c r="I71" s="502"/>
      <c r="J71" s="503"/>
      <c r="K71" s="1223">
        <f t="shared" si="29"/>
        <v>17053.5</v>
      </c>
      <c r="L71" s="502">
        <f>24251.99-7218.49</f>
        <v>17033.5</v>
      </c>
      <c r="M71" s="502"/>
      <c r="N71" s="503">
        <v>20</v>
      </c>
      <c r="O71" s="1223">
        <f t="shared" si="30"/>
        <v>25725.000170535001</v>
      </c>
      <c r="P71" s="502">
        <v>25725.000170535001</v>
      </c>
      <c r="Q71" s="500"/>
      <c r="R71" s="501"/>
      <c r="S71" s="1223">
        <f t="shared" si="31"/>
        <v>27011.250179061753</v>
      </c>
      <c r="T71" s="502">
        <f>P71*(1.025*0+1.05)</f>
        <v>27011.250179061753</v>
      </c>
      <c r="U71" s="502"/>
      <c r="V71" s="503"/>
    </row>
    <row r="72" spans="1:22" s="499" customFormat="1">
      <c r="A72" s="825" t="s">
        <v>797</v>
      </c>
      <c r="B72" s="1248" t="s">
        <v>629</v>
      </c>
      <c r="C72" s="1223">
        <f t="shared" si="38"/>
        <v>23999.85</v>
      </c>
      <c r="D72" s="502">
        <v>23999.85</v>
      </c>
      <c r="E72" s="502"/>
      <c r="F72" s="503"/>
      <c r="G72" s="1223">
        <f t="shared" si="28"/>
        <v>39999.939999999995</v>
      </c>
      <c r="H72" s="502">
        <v>39999.939999999995</v>
      </c>
      <c r="I72" s="502"/>
      <c r="J72" s="503"/>
      <c r="K72" s="1223">
        <f t="shared" si="29"/>
        <v>40000.239999999998</v>
      </c>
      <c r="L72" s="502">
        <f>7218.49+32781.75</f>
        <v>40000.239999999998</v>
      </c>
      <c r="M72" s="502"/>
      <c r="N72" s="503"/>
      <c r="O72" s="1223">
        <f t="shared" si="30"/>
        <v>40000.000072184899</v>
      </c>
      <c r="P72" s="502">
        <v>40000.000072184899</v>
      </c>
      <c r="Q72" s="500"/>
      <c r="R72" s="501"/>
      <c r="S72" s="1223">
        <f t="shared" si="31"/>
        <v>41000.000073989519</v>
      </c>
      <c r="T72" s="502">
        <f t="shared" ref="T72:T76" si="39">P72*1.025</f>
        <v>41000.000073989519</v>
      </c>
      <c r="U72" s="502"/>
      <c r="V72" s="503"/>
    </row>
    <row r="73" spans="1:22" s="499" customFormat="1">
      <c r="A73" s="825" t="s">
        <v>798</v>
      </c>
      <c r="B73" s="1248" t="s">
        <v>630</v>
      </c>
      <c r="C73" s="1223">
        <f t="shared" si="38"/>
        <v>916</v>
      </c>
      <c r="D73" s="502">
        <v>916</v>
      </c>
      <c r="E73" s="502"/>
      <c r="F73" s="503"/>
      <c r="G73" s="1223">
        <f t="shared" si="28"/>
        <v>299</v>
      </c>
      <c r="H73" s="502">
        <v>269.10000000000002</v>
      </c>
      <c r="I73" s="502"/>
      <c r="J73" s="503">
        <v>29.9</v>
      </c>
      <c r="K73" s="1223">
        <f t="shared" si="29"/>
        <v>802.7</v>
      </c>
      <c r="L73" s="502">
        <v>722.43000000000006</v>
      </c>
      <c r="M73" s="502"/>
      <c r="N73" s="503">
        <v>80.27</v>
      </c>
      <c r="O73" s="1223">
        <f t="shared" si="30"/>
        <v>882.97</v>
      </c>
      <c r="P73" s="502">
        <v>794.673</v>
      </c>
      <c r="Q73" s="500"/>
      <c r="R73" s="501">
        <v>88.297000000000011</v>
      </c>
      <c r="S73" s="1223">
        <f t="shared" si="31"/>
        <v>905.04424999999992</v>
      </c>
      <c r="T73" s="502">
        <f t="shared" si="39"/>
        <v>814.53982499999995</v>
      </c>
      <c r="U73" s="502"/>
      <c r="V73" s="503">
        <f t="shared" ref="V73:V76" si="40">R73*1.025</f>
        <v>90.504424999999998</v>
      </c>
    </row>
    <row r="74" spans="1:22" s="499" customFormat="1">
      <c r="A74" s="825" t="s">
        <v>799</v>
      </c>
      <c r="B74" s="1248" t="s">
        <v>889</v>
      </c>
      <c r="C74" s="1223">
        <f t="shared" si="38"/>
        <v>0</v>
      </c>
      <c r="D74" s="500"/>
      <c r="E74" s="500"/>
      <c r="F74" s="501"/>
      <c r="G74" s="1223">
        <f t="shared" si="28"/>
        <v>0</v>
      </c>
      <c r="H74" s="502"/>
      <c r="I74" s="502"/>
      <c r="J74" s="503"/>
      <c r="K74" s="1223">
        <f t="shared" si="29"/>
        <v>11207.349999999999</v>
      </c>
      <c r="L74" s="502">
        <v>10086.599999999999</v>
      </c>
      <c r="M74" s="502"/>
      <c r="N74" s="503">
        <v>1120.75</v>
      </c>
      <c r="O74" s="1223">
        <f t="shared" si="30"/>
        <v>21900</v>
      </c>
      <c r="P74" s="502">
        <v>19710</v>
      </c>
      <c r="Q74" s="500"/>
      <c r="R74" s="501">
        <v>2190</v>
      </c>
      <c r="S74" s="1223">
        <f t="shared" si="31"/>
        <v>22447.5</v>
      </c>
      <c r="T74" s="502">
        <f t="shared" si="39"/>
        <v>20202.75</v>
      </c>
      <c r="U74" s="502"/>
      <c r="V74" s="503">
        <f t="shared" si="40"/>
        <v>2244.75</v>
      </c>
    </row>
    <row r="75" spans="1:22" s="499" customFormat="1">
      <c r="A75" s="825" t="s">
        <v>800</v>
      </c>
      <c r="B75" s="1248" t="s">
        <v>890</v>
      </c>
      <c r="C75" s="1223">
        <f t="shared" si="38"/>
        <v>0</v>
      </c>
      <c r="D75" s="500"/>
      <c r="E75" s="500"/>
      <c r="F75" s="501"/>
      <c r="G75" s="1223">
        <f t="shared" si="28"/>
        <v>1300.4100000000001</v>
      </c>
      <c r="H75" s="502">
        <v>1170.3700000000001</v>
      </c>
      <c r="I75" s="502"/>
      <c r="J75" s="503">
        <v>130.04</v>
      </c>
      <c r="K75" s="1223">
        <f t="shared" si="29"/>
        <v>1516.3200000000002</v>
      </c>
      <c r="L75" s="502">
        <v>1364.67</v>
      </c>
      <c r="M75" s="502"/>
      <c r="N75" s="503">
        <v>151.65000000000003</v>
      </c>
      <c r="O75" s="1223">
        <f t="shared" si="30"/>
        <v>1592.136</v>
      </c>
      <c r="P75" s="502">
        <v>1432.9223999999999</v>
      </c>
      <c r="Q75" s="500"/>
      <c r="R75" s="501">
        <v>159.21360000000001</v>
      </c>
      <c r="S75" s="1223">
        <f t="shared" si="31"/>
        <v>1631.9393999999998</v>
      </c>
      <c r="T75" s="502">
        <f t="shared" si="39"/>
        <v>1468.7454599999999</v>
      </c>
      <c r="U75" s="502"/>
      <c r="V75" s="503">
        <f t="shared" si="40"/>
        <v>163.19394</v>
      </c>
    </row>
    <row r="76" spans="1:22" s="499" customFormat="1">
      <c r="A76" s="825" t="s">
        <v>888</v>
      </c>
      <c r="B76" s="1248" t="s">
        <v>891</v>
      </c>
      <c r="C76" s="1223">
        <f t="shared" si="38"/>
        <v>0</v>
      </c>
      <c r="D76" s="500"/>
      <c r="E76" s="500"/>
      <c r="F76" s="501"/>
      <c r="G76" s="1223">
        <f t="shared" si="28"/>
        <v>268.47999999999996</v>
      </c>
      <c r="H76" s="502">
        <v>243.91999999999993</v>
      </c>
      <c r="I76" s="502"/>
      <c r="J76" s="503">
        <v>24.560000000000006</v>
      </c>
      <c r="K76" s="1223">
        <f t="shared" si="29"/>
        <v>421.75999999999908</v>
      </c>
      <c r="L76" s="502">
        <v>379.33999999999912</v>
      </c>
      <c r="M76" s="502"/>
      <c r="N76" s="503">
        <v>42.419999999999938</v>
      </c>
      <c r="O76" s="1223">
        <f t="shared" si="30"/>
        <v>442.84800000000001</v>
      </c>
      <c r="P76" s="502">
        <v>398.56319999999999</v>
      </c>
      <c r="Q76" s="500"/>
      <c r="R76" s="501">
        <v>44.284800000000004</v>
      </c>
      <c r="S76" s="1223">
        <f t="shared" si="31"/>
        <v>453.91919999999993</v>
      </c>
      <c r="T76" s="502">
        <f t="shared" si="39"/>
        <v>408.52727999999996</v>
      </c>
      <c r="U76" s="502"/>
      <c r="V76" s="503">
        <f t="shared" si="40"/>
        <v>45.391919999999999</v>
      </c>
    </row>
    <row r="77" spans="1:22" s="356" customFormat="1">
      <c r="A77" s="352" t="s">
        <v>102</v>
      </c>
      <c r="B77" s="1251" t="s">
        <v>71</v>
      </c>
      <c r="C77" s="1217">
        <f t="shared" si="38"/>
        <v>0</v>
      </c>
      <c r="D77" s="354"/>
      <c r="E77" s="354"/>
      <c r="F77" s="355"/>
      <c r="G77" s="1217">
        <f t="shared" si="28"/>
        <v>0</v>
      </c>
      <c r="H77" s="354"/>
      <c r="I77" s="354"/>
      <c r="J77" s="355"/>
      <c r="K77" s="1217">
        <f t="shared" si="29"/>
        <v>0</v>
      </c>
      <c r="L77" s="354"/>
      <c r="M77" s="354"/>
      <c r="N77" s="355"/>
      <c r="O77" s="1217">
        <f t="shared" si="30"/>
        <v>0</v>
      </c>
      <c r="P77" s="354"/>
      <c r="Q77" s="354"/>
      <c r="R77" s="355"/>
      <c r="S77" s="1217">
        <f t="shared" si="31"/>
        <v>0</v>
      </c>
      <c r="T77" s="354"/>
      <c r="U77" s="354"/>
      <c r="V77" s="355"/>
    </row>
    <row r="78" spans="1:22" s="341" customFormat="1">
      <c r="A78" s="352" t="s">
        <v>103</v>
      </c>
      <c r="B78" s="1252" t="s">
        <v>157</v>
      </c>
      <c r="C78" s="1217">
        <f t="shared" si="38"/>
        <v>0</v>
      </c>
      <c r="D78" s="354"/>
      <c r="E78" s="354"/>
      <c r="F78" s="355"/>
      <c r="G78" s="1217">
        <f t="shared" si="28"/>
        <v>0</v>
      </c>
      <c r="H78" s="354"/>
      <c r="I78" s="354"/>
      <c r="J78" s="355"/>
      <c r="K78" s="1217">
        <f t="shared" si="29"/>
        <v>0</v>
      </c>
      <c r="L78" s="354"/>
      <c r="M78" s="354"/>
      <c r="N78" s="355"/>
      <c r="O78" s="1217">
        <f t="shared" si="30"/>
        <v>0</v>
      </c>
      <c r="P78" s="354"/>
      <c r="Q78" s="354"/>
      <c r="R78" s="355"/>
      <c r="S78" s="1217">
        <f t="shared" si="31"/>
        <v>0</v>
      </c>
      <c r="T78" s="354"/>
      <c r="U78" s="354"/>
      <c r="V78" s="355"/>
    </row>
    <row r="79" spans="1:22" s="356" customFormat="1">
      <c r="A79" s="826" t="s">
        <v>104</v>
      </c>
      <c r="B79" s="1253" t="s">
        <v>193</v>
      </c>
      <c r="C79" s="381">
        <f t="shared" si="38"/>
        <v>-67131.810000000012</v>
      </c>
      <c r="D79" s="381">
        <f>SUM(D80:D87)</f>
        <v>-70842.930000000008</v>
      </c>
      <c r="E79" s="381">
        <f t="shared" ref="E79:F79" si="41">SUM(E80:E87)</f>
        <v>0</v>
      </c>
      <c r="F79" s="382">
        <f t="shared" si="41"/>
        <v>3711.12</v>
      </c>
      <c r="G79" s="1224">
        <f t="shared" si="28"/>
        <v>-39845.049999999988</v>
      </c>
      <c r="H79" s="381">
        <f>SUM(H80:H87)</f>
        <v>-43870.719999999987</v>
      </c>
      <c r="I79" s="381">
        <f t="shared" ref="I79" si="42">SUM(I80:I87)</f>
        <v>0</v>
      </c>
      <c r="J79" s="382">
        <f t="shared" ref="J79" si="43">SUM(J80:J87)</f>
        <v>4025.67</v>
      </c>
      <c r="K79" s="1224">
        <f t="shared" si="29"/>
        <v>10647.470000000001</v>
      </c>
      <c r="L79" s="381">
        <f>SUM(L80:L87)</f>
        <v>6090.380000000001</v>
      </c>
      <c r="M79" s="381">
        <f t="shared" ref="M79" si="44">SUM(M80:M87)</f>
        <v>0</v>
      </c>
      <c r="N79" s="382">
        <f t="shared" ref="N79" si="45">SUM(N80:N87)</f>
        <v>4557.09</v>
      </c>
      <c r="O79" s="1224">
        <f t="shared" si="30"/>
        <v>11475.971000000001</v>
      </c>
      <c r="P79" s="381">
        <f>SUM(P80:P87)</f>
        <v>6820.3629000000001</v>
      </c>
      <c r="Q79" s="381">
        <f t="shared" ref="Q79" si="46">SUM(Q80:Q87)</f>
        <v>0</v>
      </c>
      <c r="R79" s="382">
        <f t="shared" ref="R79" si="47">SUM(R80:R87)</f>
        <v>4655.6081000000004</v>
      </c>
      <c r="S79" s="1224">
        <f t="shared" si="31"/>
        <v>11762.870274999997</v>
      </c>
      <c r="T79" s="381">
        <f>SUM(T80:T87)</f>
        <v>6990.8719724999992</v>
      </c>
      <c r="U79" s="381">
        <f t="shared" ref="U79:V79" si="48">SUM(U80:U87)</f>
        <v>0</v>
      </c>
      <c r="V79" s="382">
        <f t="shared" si="48"/>
        <v>4771.9983024999992</v>
      </c>
    </row>
    <row r="80" spans="1:22" s="356" customFormat="1">
      <c r="A80" s="352" t="s">
        <v>232</v>
      </c>
      <c r="B80" s="1254" t="s">
        <v>400</v>
      </c>
      <c r="C80" s="1217">
        <f t="shared" si="38"/>
        <v>1778.3700000000001</v>
      </c>
      <c r="D80" s="354">
        <v>1586.89</v>
      </c>
      <c r="E80" s="354"/>
      <c r="F80" s="355">
        <v>191.48</v>
      </c>
      <c r="G80" s="1217">
        <f t="shared" si="28"/>
        <v>1918.5600000000006</v>
      </c>
      <c r="H80" s="438">
        <v>1728.3500000000006</v>
      </c>
      <c r="I80" s="438"/>
      <c r="J80" s="439">
        <v>190.20999999999998</v>
      </c>
      <c r="K80" s="1217">
        <f t="shared" si="29"/>
        <v>2326.2000000000016</v>
      </c>
      <c r="L80" s="438">
        <v>2093.5200000000013</v>
      </c>
      <c r="M80" s="438"/>
      <c r="N80" s="439">
        <v>232.68000000000023</v>
      </c>
      <c r="O80" s="1217">
        <f t="shared" si="30"/>
        <v>2778.82</v>
      </c>
      <c r="P80" s="438">
        <v>2500.9380000000001</v>
      </c>
      <c r="Q80" s="354"/>
      <c r="R80" s="355">
        <v>277.88200000000001</v>
      </c>
      <c r="S80" s="1217">
        <f t="shared" si="31"/>
        <v>2848.2904999999996</v>
      </c>
      <c r="T80" s="438">
        <f t="shared" ref="T80:T81" si="49">P80*1.025</f>
        <v>2563.4614499999998</v>
      </c>
      <c r="U80" s="438"/>
      <c r="V80" s="439">
        <f t="shared" ref="V80:V81" si="50">R80*1.025</f>
        <v>284.82905</v>
      </c>
    </row>
    <row r="81" spans="1:22" s="356" customFormat="1">
      <c r="A81" s="352" t="s">
        <v>233</v>
      </c>
      <c r="B81" s="1254" t="s">
        <v>401</v>
      </c>
      <c r="C81" s="1217">
        <f t="shared" si="38"/>
        <v>3067.43</v>
      </c>
      <c r="D81" s="354">
        <v>2760.68</v>
      </c>
      <c r="E81" s="354"/>
      <c r="F81" s="355">
        <v>306.75</v>
      </c>
      <c r="G81" s="1217">
        <f t="shared" si="28"/>
        <v>4325.68</v>
      </c>
      <c r="H81" s="438">
        <v>3893.12</v>
      </c>
      <c r="I81" s="438"/>
      <c r="J81" s="439">
        <v>432.56000000000006</v>
      </c>
      <c r="K81" s="1217">
        <f t="shared" si="29"/>
        <v>4224.67</v>
      </c>
      <c r="L81" s="438">
        <v>3802.2</v>
      </c>
      <c r="M81" s="438"/>
      <c r="N81" s="439">
        <v>422.46999999999997</v>
      </c>
      <c r="O81" s="1217">
        <f t="shared" si="30"/>
        <v>4580.67</v>
      </c>
      <c r="P81" s="438">
        <v>4122.6030000000001</v>
      </c>
      <c r="Q81" s="354"/>
      <c r="R81" s="355">
        <v>458.06700000000001</v>
      </c>
      <c r="S81" s="1217">
        <f t="shared" si="31"/>
        <v>4695.1867499999998</v>
      </c>
      <c r="T81" s="438">
        <f t="shared" si="49"/>
        <v>4225.6680749999996</v>
      </c>
      <c r="U81" s="438"/>
      <c r="V81" s="439">
        <f t="shared" si="50"/>
        <v>469.51867499999997</v>
      </c>
    </row>
    <row r="82" spans="1:22" s="356" customFormat="1">
      <c r="A82" s="352" t="s">
        <v>330</v>
      </c>
      <c r="B82" s="1254" t="s">
        <v>402</v>
      </c>
      <c r="C82" s="1217">
        <f t="shared" si="38"/>
        <v>262.96999999999997</v>
      </c>
      <c r="D82" s="354">
        <v>53.74</v>
      </c>
      <c r="E82" s="354"/>
      <c r="F82" s="355">
        <v>209.23</v>
      </c>
      <c r="G82" s="1217">
        <f t="shared" si="28"/>
        <v>1911.75</v>
      </c>
      <c r="H82" s="438">
        <f>15755.5-14030</f>
        <v>1725.5</v>
      </c>
      <c r="I82" s="438"/>
      <c r="J82" s="439">
        <v>186.25</v>
      </c>
      <c r="K82" s="1217">
        <f t="shared" si="29"/>
        <v>0</v>
      </c>
      <c r="L82" s="438"/>
      <c r="M82" s="438"/>
      <c r="N82" s="439"/>
      <c r="O82" s="1217">
        <f t="shared" si="30"/>
        <v>0</v>
      </c>
      <c r="P82" s="438"/>
      <c r="Q82" s="354"/>
      <c r="R82" s="355"/>
      <c r="S82" s="1217">
        <f t="shared" si="31"/>
        <v>0</v>
      </c>
      <c r="T82" s="438"/>
      <c r="U82" s="438"/>
      <c r="V82" s="439"/>
    </row>
    <row r="83" spans="1:22" s="356" customFormat="1">
      <c r="A83" s="352" t="s">
        <v>331</v>
      </c>
      <c r="B83" s="1254" t="s">
        <v>403</v>
      </c>
      <c r="C83" s="1217">
        <f t="shared" si="38"/>
        <v>-75244.240000000005</v>
      </c>
      <c r="D83" s="354">
        <v>-75244.240000000005</v>
      </c>
      <c r="E83" s="354"/>
      <c r="F83" s="355"/>
      <c r="G83" s="1217">
        <f t="shared" si="28"/>
        <v>-51376.19999999999</v>
      </c>
      <c r="H83" s="438">
        <v>-51376.19999999999</v>
      </c>
      <c r="I83" s="438"/>
      <c r="J83" s="439"/>
      <c r="K83" s="1217">
        <f t="shared" si="29"/>
        <v>0</v>
      </c>
      <c r="L83" s="438"/>
      <c r="M83" s="438"/>
      <c r="N83" s="439"/>
      <c r="O83" s="1217">
        <f t="shared" si="30"/>
        <v>0</v>
      </c>
      <c r="P83" s="438"/>
      <c r="Q83" s="354"/>
      <c r="R83" s="355"/>
      <c r="S83" s="1217">
        <f t="shared" si="31"/>
        <v>0</v>
      </c>
      <c r="T83" s="438"/>
      <c r="U83" s="438"/>
      <c r="V83" s="439"/>
    </row>
    <row r="84" spans="1:22" s="356" customFormat="1">
      <c r="A84" s="352" t="s">
        <v>332</v>
      </c>
      <c r="B84" s="1254" t="s">
        <v>328</v>
      </c>
      <c r="C84" s="1217">
        <f t="shared" si="38"/>
        <v>0</v>
      </c>
      <c r="D84" s="354"/>
      <c r="E84" s="354"/>
      <c r="F84" s="355"/>
      <c r="G84" s="1217">
        <f t="shared" si="28"/>
        <v>175.28</v>
      </c>
      <c r="H84" s="438">
        <v>158.51</v>
      </c>
      <c r="I84" s="438"/>
      <c r="J84" s="439">
        <v>16.77</v>
      </c>
      <c r="K84" s="1217">
        <f t="shared" si="29"/>
        <v>198.80999999999992</v>
      </c>
      <c r="L84" s="438">
        <v>194.65999999999991</v>
      </c>
      <c r="M84" s="438"/>
      <c r="N84" s="439">
        <v>4.1500000000000012</v>
      </c>
      <c r="O84" s="1217">
        <f t="shared" si="30"/>
        <v>218.691</v>
      </c>
      <c r="P84" s="438">
        <v>196.8219</v>
      </c>
      <c r="Q84" s="354"/>
      <c r="R84" s="355">
        <v>21.869100000000003</v>
      </c>
      <c r="S84" s="1217">
        <f t="shared" si="31"/>
        <v>224.15827499999997</v>
      </c>
      <c r="T84" s="438">
        <f t="shared" ref="T84" si="51">P84*1.025</f>
        <v>201.74244749999997</v>
      </c>
      <c r="U84" s="438"/>
      <c r="V84" s="439">
        <f t="shared" ref="V84" si="52">R84*1.025</f>
        <v>22.415827500000002</v>
      </c>
    </row>
    <row r="85" spans="1:22" s="356" customFormat="1">
      <c r="A85" s="352" t="s">
        <v>333</v>
      </c>
      <c r="B85" s="1254" t="s">
        <v>329</v>
      </c>
      <c r="C85" s="1217">
        <f t="shared" si="38"/>
        <v>0</v>
      </c>
      <c r="D85" s="354"/>
      <c r="E85" s="354"/>
      <c r="F85" s="355"/>
      <c r="G85" s="1217">
        <f t="shared" si="28"/>
        <v>0</v>
      </c>
      <c r="H85" s="438"/>
      <c r="I85" s="438"/>
      <c r="J85" s="439"/>
      <c r="K85" s="1217">
        <f t="shared" si="29"/>
        <v>0</v>
      </c>
      <c r="L85" s="438"/>
      <c r="M85" s="438"/>
      <c r="N85" s="439"/>
      <c r="O85" s="1217">
        <f t="shared" si="30"/>
        <v>0</v>
      </c>
      <c r="P85" s="438"/>
      <c r="Q85" s="354"/>
      <c r="R85" s="355"/>
      <c r="S85" s="1217">
        <f t="shared" si="31"/>
        <v>0</v>
      </c>
      <c r="T85" s="438"/>
      <c r="U85" s="354"/>
      <c r="V85" s="355"/>
    </row>
    <row r="86" spans="1:22" s="356" customFormat="1">
      <c r="A86" s="352" t="s">
        <v>404</v>
      </c>
      <c r="B86" s="1254" t="s">
        <v>334</v>
      </c>
      <c r="C86" s="1217">
        <f t="shared" si="38"/>
        <v>3003.66</v>
      </c>
      <c r="D86" s="354"/>
      <c r="E86" s="354"/>
      <c r="F86" s="355">
        <v>3003.66</v>
      </c>
      <c r="G86" s="1217">
        <f t="shared" si="28"/>
        <v>3199.88</v>
      </c>
      <c r="H86" s="438"/>
      <c r="I86" s="438"/>
      <c r="J86" s="439">
        <v>3199.88</v>
      </c>
      <c r="K86" s="1217">
        <f t="shared" si="29"/>
        <v>3897.79</v>
      </c>
      <c r="L86" s="438"/>
      <c r="M86" s="438"/>
      <c r="N86" s="439">
        <v>3897.79</v>
      </c>
      <c r="O86" s="1217">
        <f t="shared" si="30"/>
        <v>3897.79</v>
      </c>
      <c r="P86" s="438"/>
      <c r="Q86" s="354"/>
      <c r="R86" s="355">
        <v>3897.79</v>
      </c>
      <c r="S86" s="1217">
        <f t="shared" si="31"/>
        <v>3995.2347499999996</v>
      </c>
      <c r="T86" s="438"/>
      <c r="U86" s="354"/>
      <c r="V86" s="355">
        <f t="shared" ref="V86" si="53">R86*1.025</f>
        <v>3995.2347499999996</v>
      </c>
    </row>
    <row r="87" spans="1:22" s="341" customFormat="1">
      <c r="A87" s="352" t="s">
        <v>405</v>
      </c>
      <c r="B87" s="1254" t="s">
        <v>173</v>
      </c>
      <c r="C87" s="1222">
        <f t="shared" si="38"/>
        <v>0</v>
      </c>
      <c r="D87" s="354"/>
      <c r="E87" s="354"/>
      <c r="F87" s="355"/>
      <c r="G87" s="1222">
        <f t="shared" si="28"/>
        <v>0</v>
      </c>
      <c r="H87" s="354"/>
      <c r="I87" s="354"/>
      <c r="J87" s="355"/>
      <c r="K87" s="1222">
        <f t="shared" si="29"/>
        <v>0</v>
      </c>
      <c r="L87" s="354"/>
      <c r="M87" s="354"/>
      <c r="N87" s="355"/>
      <c r="O87" s="1222">
        <f t="shared" si="30"/>
        <v>0</v>
      </c>
      <c r="P87" s="354"/>
      <c r="Q87" s="354"/>
      <c r="R87" s="355"/>
      <c r="S87" s="1222">
        <f t="shared" si="31"/>
        <v>0</v>
      </c>
      <c r="T87" s="354"/>
      <c r="U87" s="354"/>
      <c r="V87" s="355"/>
    </row>
    <row r="88" spans="1:22" s="341" customFormat="1">
      <c r="A88" s="826" t="s">
        <v>171</v>
      </c>
      <c r="B88" s="1253" t="s">
        <v>196</v>
      </c>
      <c r="C88" s="1224">
        <f t="shared" si="38"/>
        <v>2867</v>
      </c>
      <c r="D88" s="381">
        <f>SUM(D89:D90)</f>
        <v>2863.25</v>
      </c>
      <c r="E88" s="381">
        <f t="shared" ref="E88:F88" si="54">SUM(E89:E90)</f>
        <v>0</v>
      </c>
      <c r="F88" s="382">
        <f t="shared" si="54"/>
        <v>3.75</v>
      </c>
      <c r="G88" s="1224">
        <f t="shared" si="28"/>
        <v>2976</v>
      </c>
      <c r="H88" s="381">
        <f>SUM(H89:H90)</f>
        <v>2976</v>
      </c>
      <c r="I88" s="381">
        <f t="shared" ref="I88" si="55">SUM(I89:I90)</f>
        <v>0</v>
      </c>
      <c r="J88" s="382">
        <f t="shared" ref="J88" si="56">SUM(J89:J90)</f>
        <v>0</v>
      </c>
      <c r="K88" s="1224">
        <f t="shared" si="29"/>
        <v>3041.0099999999998</v>
      </c>
      <c r="L88" s="381">
        <f>SUM(L89:L90)</f>
        <v>3041.0099999999998</v>
      </c>
      <c r="M88" s="381">
        <f t="shared" ref="M88" si="57">SUM(M89:M90)</f>
        <v>0</v>
      </c>
      <c r="N88" s="382">
        <f t="shared" ref="N88" si="58">SUM(N89:N90)</f>
        <v>0</v>
      </c>
      <c r="O88" s="1224">
        <f t="shared" si="30"/>
        <v>3041.01</v>
      </c>
      <c r="P88" s="381">
        <f>SUM(P89:P90)</f>
        <v>3041.01</v>
      </c>
      <c r="Q88" s="381">
        <f t="shared" ref="Q88" si="59">SUM(Q89:Q90)</f>
        <v>0</v>
      </c>
      <c r="R88" s="382">
        <f t="shared" ref="R88" si="60">SUM(R89:R90)</f>
        <v>0</v>
      </c>
      <c r="S88" s="1224">
        <f t="shared" si="31"/>
        <v>0</v>
      </c>
      <c r="T88" s="381">
        <f>SUM(T89:T90)</f>
        <v>0</v>
      </c>
      <c r="U88" s="381">
        <f t="shared" ref="U88:V88" si="61">SUM(U89:U90)</f>
        <v>0</v>
      </c>
      <c r="V88" s="382">
        <f t="shared" si="61"/>
        <v>0</v>
      </c>
    </row>
    <row r="89" spans="1:22" s="341" customFormat="1">
      <c r="A89" s="352" t="s">
        <v>234</v>
      </c>
      <c r="B89" s="1254" t="s">
        <v>407</v>
      </c>
      <c r="C89" s="1222">
        <f t="shared" si="38"/>
        <v>150</v>
      </c>
      <c r="D89" s="354">
        <v>146.25</v>
      </c>
      <c r="E89" s="354"/>
      <c r="F89" s="355">
        <v>3.75</v>
      </c>
      <c r="G89" s="1222">
        <f t="shared" si="28"/>
        <v>168</v>
      </c>
      <c r="H89" s="354">
        <v>168</v>
      </c>
      <c r="I89" s="354"/>
      <c r="J89" s="355"/>
      <c r="K89" s="1222">
        <f t="shared" si="29"/>
        <v>126</v>
      </c>
      <c r="L89" s="354">
        <v>126</v>
      </c>
      <c r="M89" s="354"/>
      <c r="N89" s="355"/>
      <c r="O89" s="1222">
        <f t="shared" si="30"/>
        <v>0</v>
      </c>
      <c r="P89" s="354"/>
      <c r="Q89" s="354"/>
      <c r="R89" s="355"/>
      <c r="S89" s="1222">
        <f t="shared" si="31"/>
        <v>0</v>
      </c>
      <c r="T89" s="354"/>
      <c r="U89" s="354"/>
      <c r="V89" s="355"/>
    </row>
    <row r="90" spans="1:22" s="341" customFormat="1">
      <c r="A90" s="352" t="s">
        <v>235</v>
      </c>
      <c r="B90" s="1255" t="s">
        <v>641</v>
      </c>
      <c r="C90" s="1222">
        <f t="shared" si="38"/>
        <v>2717</v>
      </c>
      <c r="D90" s="354">
        <v>2717</v>
      </c>
      <c r="E90" s="354"/>
      <c r="F90" s="355"/>
      <c r="G90" s="1222">
        <f t="shared" si="28"/>
        <v>2808</v>
      </c>
      <c r="H90" s="354">
        <v>2808</v>
      </c>
      <c r="I90" s="354"/>
      <c r="J90" s="355"/>
      <c r="K90" s="1222">
        <f t="shared" si="29"/>
        <v>2915.0099999999998</v>
      </c>
      <c r="L90" s="354">
        <v>2915.0099999999998</v>
      </c>
      <c r="M90" s="354"/>
      <c r="N90" s="355"/>
      <c r="O90" s="1222">
        <f t="shared" si="30"/>
        <v>3041.01</v>
      </c>
      <c r="P90" s="354">
        <v>3041.01</v>
      </c>
      <c r="Q90" s="354"/>
      <c r="R90" s="355"/>
      <c r="S90" s="1222">
        <f t="shared" si="31"/>
        <v>0</v>
      </c>
      <c r="T90" s="354"/>
      <c r="U90" s="354"/>
      <c r="V90" s="355"/>
    </row>
    <row r="91" spans="1:22" s="341" customFormat="1">
      <c r="A91" s="826" t="s">
        <v>172</v>
      </c>
      <c r="B91" s="1253" t="s">
        <v>80</v>
      </c>
      <c r="C91" s="1224">
        <f t="shared" si="38"/>
        <v>432297.82</v>
      </c>
      <c r="D91" s="381">
        <f>SUM(D92:D96)</f>
        <v>346070.83</v>
      </c>
      <c r="E91" s="381">
        <f t="shared" ref="E91:F91" si="62">SUM(E92:E96)</f>
        <v>0</v>
      </c>
      <c r="F91" s="382">
        <f t="shared" si="62"/>
        <v>86226.99</v>
      </c>
      <c r="G91" s="1224">
        <f t="shared" si="28"/>
        <v>481622.68</v>
      </c>
      <c r="H91" s="381">
        <f>SUM(H92:H96)</f>
        <v>363513.31</v>
      </c>
      <c r="I91" s="381">
        <f t="shared" ref="I91" si="63">SUM(I92:I96)</f>
        <v>0</v>
      </c>
      <c r="J91" s="382">
        <f t="shared" ref="J91" si="64">SUM(J92:J96)</f>
        <v>118109.37</v>
      </c>
      <c r="K91" s="1224">
        <f t="shared" si="29"/>
        <v>529922.34000000032</v>
      </c>
      <c r="L91" s="381">
        <f>SUM(L92:L96)</f>
        <v>416896.78000000026</v>
      </c>
      <c r="M91" s="381">
        <f t="shared" ref="M91" si="65">SUM(M92:M96)</f>
        <v>0</v>
      </c>
      <c r="N91" s="382">
        <f t="shared" ref="N91" si="66">SUM(N92:N96)</f>
        <v>113025.56000000001</v>
      </c>
      <c r="O91" s="1224">
        <f t="shared" si="30"/>
        <v>591607.75364999997</v>
      </c>
      <c r="P91" s="381">
        <f>SUM(P92:P96)</f>
        <v>462469.73549999995</v>
      </c>
      <c r="Q91" s="381">
        <f t="shared" ref="Q91" si="67">SUM(Q92:Q96)</f>
        <v>0</v>
      </c>
      <c r="R91" s="382">
        <f t="shared" ref="R91" si="68">SUM(R92:R96)</f>
        <v>129138.01815000002</v>
      </c>
      <c r="S91" s="1224">
        <f t="shared" si="31"/>
        <v>778546.93463249994</v>
      </c>
      <c r="T91" s="381">
        <f>SUM(T92:T96)</f>
        <v>632968.51297499996</v>
      </c>
      <c r="U91" s="381">
        <f t="shared" ref="U91:V91" si="69">SUM(U92:U96)</f>
        <v>0</v>
      </c>
      <c r="V91" s="382">
        <f t="shared" si="69"/>
        <v>145578.4216575</v>
      </c>
    </row>
    <row r="92" spans="1:22" s="356" customFormat="1">
      <c r="A92" s="379" t="s">
        <v>197</v>
      </c>
      <c r="B92" s="1250" t="s">
        <v>81</v>
      </c>
      <c r="C92" s="1217">
        <f t="shared" si="38"/>
        <v>322358.37</v>
      </c>
      <c r="D92" s="438">
        <v>257866.31</v>
      </c>
      <c r="E92" s="438"/>
      <c r="F92" s="439">
        <v>64492.06</v>
      </c>
      <c r="G92" s="1217">
        <f t="shared" si="28"/>
        <v>359429.3</v>
      </c>
      <c r="H92" s="438">
        <v>271678.38</v>
      </c>
      <c r="I92" s="438"/>
      <c r="J92" s="439">
        <v>87750.92</v>
      </c>
      <c r="K92" s="1217">
        <f t="shared" si="29"/>
        <v>395650</v>
      </c>
      <c r="L92" s="844">
        <v>309060</v>
      </c>
      <c r="M92" s="844"/>
      <c r="N92" s="845">
        <v>86590</v>
      </c>
      <c r="O92" s="1217">
        <f t="shared" si="30"/>
        <v>440612.92499999999</v>
      </c>
      <c r="P92" s="533">
        <f>'9. Palgakulud'!V23</f>
        <v>344251.75</v>
      </c>
      <c r="Q92" s="438"/>
      <c r="R92" s="718">
        <f>'9. Palgakulud'!V24</f>
        <v>96361.175000000003</v>
      </c>
      <c r="S92" s="1217">
        <f t="shared" si="31"/>
        <v>581715.24624999997</v>
      </c>
      <c r="T92" s="533">
        <f>'9. Palgakulud'!AB23</f>
        <v>473070.63749999995</v>
      </c>
      <c r="U92" s="438"/>
      <c r="V92" s="718">
        <f>'9. Palgakulud'!AB24</f>
        <v>108644.60874999998</v>
      </c>
    </row>
    <row r="93" spans="1:22" s="356" customFormat="1">
      <c r="A93" s="379" t="s">
        <v>198</v>
      </c>
      <c r="B93" s="1254" t="s">
        <v>152</v>
      </c>
      <c r="C93" s="1217">
        <f t="shared" si="38"/>
        <v>108091.95000000001</v>
      </c>
      <c r="D93" s="438">
        <v>86462.57</v>
      </c>
      <c r="E93" s="438"/>
      <c r="F93" s="439">
        <v>21629.38</v>
      </c>
      <c r="G93" s="1217">
        <f t="shared" si="28"/>
        <v>119711.79999999999</v>
      </c>
      <c r="H93" s="438">
        <v>90406.2</v>
      </c>
      <c r="I93" s="438"/>
      <c r="J93" s="439">
        <v>29305.599999999999</v>
      </c>
      <c r="K93" s="1217">
        <f t="shared" si="29"/>
        <v>132204.68000000028</v>
      </c>
      <c r="L93" s="844">
        <v>105892.96000000027</v>
      </c>
      <c r="M93" s="844"/>
      <c r="N93" s="845">
        <v>26311.720000000019</v>
      </c>
      <c r="O93" s="1217">
        <f t="shared" si="30"/>
        <v>148927.16865000001</v>
      </c>
      <c r="P93" s="533">
        <f>P92*0.338</f>
        <v>116357.09150000001</v>
      </c>
      <c r="Q93" s="438"/>
      <c r="R93" s="718">
        <f>R92*0.338</f>
        <v>32570.077150000005</v>
      </c>
      <c r="S93" s="1217">
        <f t="shared" si="31"/>
        <v>196619.75323249999</v>
      </c>
      <c r="T93" s="533">
        <f>T92*0.338</f>
        <v>159897.87547500001</v>
      </c>
      <c r="U93" s="438"/>
      <c r="V93" s="718">
        <f>V92*0.338</f>
        <v>36721.877757499999</v>
      </c>
    </row>
    <row r="94" spans="1:22" s="356" customFormat="1">
      <c r="A94" s="379" t="s">
        <v>236</v>
      </c>
      <c r="B94" s="1241" t="s">
        <v>86</v>
      </c>
      <c r="C94" s="1217">
        <f t="shared" si="38"/>
        <v>1847.5</v>
      </c>
      <c r="D94" s="438">
        <v>1741.95</v>
      </c>
      <c r="E94" s="438"/>
      <c r="F94" s="439">
        <v>105.55</v>
      </c>
      <c r="G94" s="1217">
        <f t="shared" si="28"/>
        <v>2481.58</v>
      </c>
      <c r="H94" s="438">
        <v>1428.73</v>
      </c>
      <c r="I94" s="438"/>
      <c r="J94" s="439">
        <v>1052.8499999999999</v>
      </c>
      <c r="K94" s="1217">
        <f t="shared" si="29"/>
        <v>2067.6600000000012</v>
      </c>
      <c r="L94" s="438">
        <v>1943.8200000000011</v>
      </c>
      <c r="M94" s="844"/>
      <c r="N94" s="439">
        <v>123.84</v>
      </c>
      <c r="O94" s="1217">
        <f t="shared" si="30"/>
        <v>2067.66</v>
      </c>
      <c r="P94" s="438">
        <f>2067.66-R94</f>
        <v>1860.8939999999998</v>
      </c>
      <c r="Q94" s="438"/>
      <c r="R94" s="439">
        <f>2067.66*10%</f>
        <v>206.76599999999999</v>
      </c>
      <c r="S94" s="1217">
        <f t="shared" si="31"/>
        <v>211.93514999999996</v>
      </c>
      <c r="T94" s="438"/>
      <c r="U94" s="438"/>
      <c r="V94" s="439">
        <f t="shared" ref="V94" si="70">R94*1.025</f>
        <v>211.93514999999996</v>
      </c>
    </row>
    <row r="95" spans="1:22" s="341" customFormat="1">
      <c r="A95" s="352" t="s">
        <v>237</v>
      </c>
      <c r="B95" s="1254" t="s">
        <v>176</v>
      </c>
      <c r="C95" s="1217">
        <f t="shared" si="38"/>
        <v>0</v>
      </c>
      <c r="D95" s="438"/>
      <c r="E95" s="438"/>
      <c r="F95" s="439"/>
      <c r="G95" s="1217">
        <f t="shared" si="28"/>
        <v>0</v>
      </c>
      <c r="H95" s="438"/>
      <c r="I95" s="438"/>
      <c r="J95" s="439"/>
      <c r="K95" s="1217">
        <f t="shared" si="29"/>
        <v>0</v>
      </c>
      <c r="L95" s="438"/>
      <c r="M95" s="438"/>
      <c r="N95" s="439"/>
      <c r="O95" s="1217">
        <f t="shared" si="30"/>
        <v>0</v>
      </c>
      <c r="P95" s="438"/>
      <c r="Q95" s="438"/>
      <c r="R95" s="439"/>
      <c r="S95" s="1217">
        <f t="shared" si="31"/>
        <v>0</v>
      </c>
      <c r="T95" s="438"/>
      <c r="U95" s="438"/>
      <c r="V95" s="439"/>
    </row>
    <row r="96" spans="1:22" s="341" customFormat="1">
      <c r="A96" s="379" t="s">
        <v>350</v>
      </c>
      <c r="B96" s="1254" t="s">
        <v>351</v>
      </c>
      <c r="C96" s="1217">
        <f t="shared" si="38"/>
        <v>0</v>
      </c>
      <c r="D96" s="438"/>
      <c r="E96" s="438"/>
      <c r="F96" s="439"/>
      <c r="G96" s="1217">
        <f t="shared" si="28"/>
        <v>0</v>
      </c>
      <c r="H96" s="438"/>
      <c r="I96" s="438"/>
      <c r="J96" s="439"/>
      <c r="K96" s="1217">
        <f t="shared" si="29"/>
        <v>0</v>
      </c>
      <c r="L96" s="438"/>
      <c r="M96" s="438"/>
      <c r="N96" s="439"/>
      <c r="O96" s="1217">
        <f t="shared" si="30"/>
        <v>0</v>
      </c>
      <c r="P96" s="438"/>
      <c r="Q96" s="438"/>
      <c r="R96" s="439"/>
      <c r="S96" s="1217">
        <f t="shared" si="31"/>
        <v>0</v>
      </c>
      <c r="T96" s="438"/>
      <c r="U96" s="438"/>
      <c r="V96" s="439"/>
    </row>
    <row r="97" spans="1:22" s="356" customFormat="1">
      <c r="A97" s="352" t="s">
        <v>406</v>
      </c>
      <c r="B97" s="1254" t="s">
        <v>64</v>
      </c>
      <c r="C97" s="1217">
        <f t="shared" si="38"/>
        <v>-1771.03</v>
      </c>
      <c r="D97" s="438">
        <v>-1075.8399999999999</v>
      </c>
      <c r="E97" s="438"/>
      <c r="F97" s="439">
        <v>-695.19</v>
      </c>
      <c r="G97" s="1217">
        <f t="shared" si="28"/>
        <v>547.79</v>
      </c>
      <c r="H97" s="438">
        <v>442.03</v>
      </c>
      <c r="I97" s="438"/>
      <c r="J97" s="439">
        <v>105.76</v>
      </c>
      <c r="K97" s="1217">
        <f t="shared" si="29"/>
        <v>32590</v>
      </c>
      <c r="L97" s="438">
        <f>-455.48*0+32590</f>
        <v>32590</v>
      </c>
      <c r="M97" s="438"/>
      <c r="N97" s="439"/>
      <c r="O97" s="1217">
        <f t="shared" si="30"/>
        <v>500</v>
      </c>
      <c r="P97" s="438">
        <v>500</v>
      </c>
      <c r="Q97" s="438"/>
      <c r="R97" s="439"/>
      <c r="S97" s="1217">
        <f t="shared" si="31"/>
        <v>0</v>
      </c>
      <c r="T97" s="438"/>
      <c r="U97" s="438"/>
      <c r="V97" s="439"/>
    </row>
    <row r="98" spans="1:22" s="356" customFormat="1">
      <c r="A98" s="377"/>
      <c r="B98" s="1256" t="s">
        <v>222</v>
      </c>
      <c r="C98" s="682">
        <f>SUM(D98:F98)</f>
        <v>684610.86</v>
      </c>
      <c r="D98" s="17">
        <f t="shared" ref="D98:E98" si="71">SUM(D43:D52)+SUM(D60:D67)+SUM(D77:D78)+D79+D88+SUM(D92:D97)</f>
        <v>515269.31</v>
      </c>
      <c r="E98" s="17">
        <f t="shared" si="71"/>
        <v>7043.9999999999991</v>
      </c>
      <c r="F98" s="638">
        <f>SUM(F43:F52)+SUM(F60:F67)+SUM(F77:F78)+F79+F88+SUM(F92:F97)</f>
        <v>162297.54999999999</v>
      </c>
      <c r="G98" s="682">
        <f>SUM(H98:J98)</f>
        <v>950754.8600000001</v>
      </c>
      <c r="H98" s="17">
        <f t="shared" ref="H98" si="72">SUM(H43:H52)+SUM(H60:H67)+SUM(H77:H78)+H79+H88+SUM(H92:H97)</f>
        <v>699117.67000000016</v>
      </c>
      <c r="I98" s="17">
        <f t="shared" ref="I98" si="73">SUM(I43:I52)+SUM(I60:I67)+SUM(I77:I78)+I79+I88+SUM(I92:I97)</f>
        <v>6553.9999999999991</v>
      </c>
      <c r="J98" s="638">
        <f>SUM(J43:J52)+SUM(J60:J67)+SUM(J77:J78)+J79+J88+SUM(J92:J97)</f>
        <v>245083.19</v>
      </c>
      <c r="K98" s="682">
        <f>SUM(L98:N98)</f>
        <v>1121064.9750000003</v>
      </c>
      <c r="L98" s="17">
        <f t="shared" ref="L98" si="74">SUM(L43:L52)+SUM(L60:L67)+SUM(L77:L78)+L79+L88+SUM(L92:L97)</f>
        <v>910582.57880000037</v>
      </c>
      <c r="M98" s="17">
        <f t="shared" ref="M98" si="75">SUM(M43:M52)+SUM(M60:M67)+SUM(M77:M78)+M79+M88+SUM(M92:M97)</f>
        <v>25646</v>
      </c>
      <c r="N98" s="638">
        <f>SUM(N43:N52)+SUM(N60:N67)+SUM(N77:N78)+N79+N88+SUM(N92:N97)</f>
        <v>184836.39620000002</v>
      </c>
      <c r="O98" s="682">
        <f>SUM(P98:R98)</f>
        <v>1235617.6628928103</v>
      </c>
      <c r="P98" s="17">
        <f t="shared" ref="P98" si="76">SUM(P43:P52)+SUM(P60:P67)+SUM(P77:P78)+P79+P88+SUM(P92:P97)</f>
        <v>987812.21786138637</v>
      </c>
      <c r="Q98" s="17">
        <f t="shared" ref="Q98" si="77">SUM(Q43:Q52)+SUM(Q60:Q67)+SUM(Q77:Q78)+Q79+Q88+SUM(Q92:Q97)</f>
        <v>0</v>
      </c>
      <c r="R98" s="638">
        <f>SUM(R43:R52)+SUM(R60:R67)+SUM(R77:R78)+R79+R88+SUM(R92:R97)</f>
        <v>247805.44503142394</v>
      </c>
      <c r="S98" s="682">
        <f>SUM(T98:V98)</f>
        <v>1465049.6078572655</v>
      </c>
      <c r="T98" s="17">
        <f t="shared" ref="T98" si="78">SUM(T43:T52)+SUM(T60:T67)+SUM(T77:T78)+T79+T88+SUM(T92:T97)</f>
        <v>1197800.0165297301</v>
      </c>
      <c r="U98" s="17">
        <f t="shared" ref="U98" si="79">SUM(U43:U52)+SUM(U60:U67)+SUM(U77:U78)+U79+U88+SUM(U92:U97)</f>
        <v>0</v>
      </c>
      <c r="V98" s="638">
        <f>SUM(V43:V52)+SUM(V60:V67)+SUM(V77:V78)+V79+V88+SUM(V92:V97)</f>
        <v>267249.59132753534</v>
      </c>
    </row>
    <row r="99" spans="1:22" s="356" customFormat="1">
      <c r="A99" s="345" t="s">
        <v>105</v>
      </c>
      <c r="B99" s="1240" t="s">
        <v>37</v>
      </c>
      <c r="C99" s="1217"/>
      <c r="D99" s="384"/>
      <c r="E99" s="357"/>
      <c r="F99" s="385"/>
      <c r="G99" s="1217"/>
      <c r="H99" s="384"/>
      <c r="I99" s="357"/>
      <c r="J99" s="385"/>
      <c r="K99" s="1217"/>
      <c r="L99" s="384"/>
      <c r="M99" s="357"/>
      <c r="N99" s="385"/>
      <c r="O99" s="1217"/>
      <c r="P99" s="384"/>
      <c r="Q99" s="357"/>
      <c r="R99" s="385"/>
      <c r="S99" s="1217"/>
      <c r="T99" s="384"/>
      <c r="U99" s="357"/>
      <c r="V99" s="385"/>
    </row>
    <row r="100" spans="1:22" s="341" customFormat="1">
      <c r="A100" s="376" t="s">
        <v>106</v>
      </c>
      <c r="B100" s="1231" t="s">
        <v>370</v>
      </c>
      <c r="C100" s="1217">
        <f t="shared" ref="C100:C104" si="80">SUM(D100:F100)</f>
        <v>98711</v>
      </c>
      <c r="D100" s="353">
        <f>'5. Põhivara'!AK20</f>
        <v>97038.29</v>
      </c>
      <c r="E100" s="354"/>
      <c r="F100" s="358">
        <f>'5. Põhivara'!AL20</f>
        <v>1672.71</v>
      </c>
      <c r="G100" s="1217">
        <f t="shared" ref="G100:G104" si="81">SUM(H100:J100)</f>
        <v>154407</v>
      </c>
      <c r="H100" s="353">
        <f>'5. Põhivara'!AW20</f>
        <v>152734.29</v>
      </c>
      <c r="I100" s="354"/>
      <c r="J100" s="358">
        <f>'5. Põhivara'!AX20</f>
        <v>1672.71</v>
      </c>
      <c r="K100" s="1217">
        <f t="shared" ref="K100:K104" si="82">SUM(L100:N100)</f>
        <v>193938</v>
      </c>
      <c r="L100" s="353">
        <f>'5. Põhivara'!BI20</f>
        <v>192168.59</v>
      </c>
      <c r="M100" s="354"/>
      <c r="N100" s="358">
        <f>'5. Põhivara'!BJ20</f>
        <v>1769.41</v>
      </c>
      <c r="O100" s="1217">
        <f t="shared" ref="O100:O104" si="83">SUM(P100:R100)</f>
        <v>167000.76000000004</v>
      </c>
      <c r="P100" s="353">
        <f>'5. Põhivara'!BU20</f>
        <v>165231.35000000003</v>
      </c>
      <c r="Q100" s="354"/>
      <c r="R100" s="358">
        <f>'5. Põhivara'!BV20</f>
        <v>1769.41</v>
      </c>
      <c r="S100" s="1217">
        <f t="shared" ref="S100:S104" si="84">SUM(T100:V100)</f>
        <v>354013.08667128516</v>
      </c>
      <c r="T100" s="353">
        <f>'5. Põhivara'!CG20</f>
        <v>352243.67667128518</v>
      </c>
      <c r="U100" s="354"/>
      <c r="V100" s="358">
        <f>'5. Põhivara'!CH20</f>
        <v>1769.41</v>
      </c>
    </row>
    <row r="101" spans="1:22" s="341" customFormat="1">
      <c r="A101" s="352" t="s">
        <v>107</v>
      </c>
      <c r="B101" s="358" t="s">
        <v>90</v>
      </c>
      <c r="C101" s="1217">
        <f t="shared" si="80"/>
        <v>0</v>
      </c>
      <c r="D101" s="354"/>
      <c r="E101" s="354"/>
      <c r="F101" s="355"/>
      <c r="G101" s="1217">
        <f t="shared" si="81"/>
        <v>0</v>
      </c>
      <c r="H101" s="354"/>
      <c r="I101" s="354"/>
      <c r="J101" s="355"/>
      <c r="K101" s="1217">
        <f t="shared" si="82"/>
        <v>84301</v>
      </c>
      <c r="L101" s="353">
        <f>'5. Põhivara'!BI25</f>
        <v>84301</v>
      </c>
      <c r="M101" s="354"/>
      <c r="N101" s="355"/>
      <c r="O101" s="1217">
        <f t="shared" si="83"/>
        <v>0</v>
      </c>
      <c r="P101" s="354"/>
      <c r="Q101" s="354"/>
      <c r="R101" s="355"/>
      <c r="S101" s="1217">
        <f t="shared" si="84"/>
        <v>0</v>
      </c>
      <c r="T101" s="354"/>
      <c r="U101" s="354"/>
      <c r="V101" s="355"/>
    </row>
    <row r="102" spans="1:22" s="341" customFormat="1">
      <c r="A102" s="352" t="s">
        <v>118</v>
      </c>
      <c r="B102" s="1257" t="s">
        <v>147</v>
      </c>
      <c r="C102" s="1217">
        <f t="shared" si="80"/>
        <v>176149</v>
      </c>
      <c r="D102" s="353">
        <f>'5. Põhivara'!AK19</f>
        <v>175888.51</v>
      </c>
      <c r="E102" s="354"/>
      <c r="F102" s="358">
        <f>'5. Põhivara'!AL19</f>
        <v>260.49</v>
      </c>
      <c r="G102" s="1217">
        <f t="shared" si="81"/>
        <v>256648</v>
      </c>
      <c r="H102" s="353">
        <f>'5. Põhivara'!AW19</f>
        <v>256387.51</v>
      </c>
      <c r="I102" s="354"/>
      <c r="J102" s="358">
        <f>'5. Põhivara'!AX19</f>
        <v>260.49</v>
      </c>
      <c r="K102" s="1217">
        <f t="shared" si="82"/>
        <v>259850</v>
      </c>
      <c r="L102" s="353">
        <f>'5. Põhivara'!BI19</f>
        <v>259284.95</v>
      </c>
      <c r="M102" s="354"/>
      <c r="N102" s="358">
        <f>'5. Põhivara'!BJ19</f>
        <v>565.04999999999995</v>
      </c>
      <c r="O102" s="1217">
        <f t="shared" si="83"/>
        <v>259850</v>
      </c>
      <c r="P102" s="353">
        <f>'5. Põhivara'!BU19</f>
        <v>259284.95</v>
      </c>
      <c r="Q102" s="354"/>
      <c r="R102" s="358">
        <f>'5. Põhivara'!BV19</f>
        <v>565.04999999999995</v>
      </c>
      <c r="S102" s="1217">
        <f t="shared" si="84"/>
        <v>259850</v>
      </c>
      <c r="T102" s="353">
        <f>'5. Põhivara'!CG19</f>
        <v>259284.95</v>
      </c>
      <c r="U102" s="354"/>
      <c r="V102" s="358">
        <f>'5. Põhivara'!CH19</f>
        <v>565.04999999999995</v>
      </c>
    </row>
    <row r="103" spans="1:22" s="341" customFormat="1">
      <c r="A103" s="352" t="s">
        <v>119</v>
      </c>
      <c r="B103" s="1257" t="s">
        <v>580</v>
      </c>
      <c r="C103" s="1217">
        <f t="shared" si="80"/>
        <v>870</v>
      </c>
      <c r="D103" s="354">
        <v>870</v>
      </c>
      <c r="E103" s="354"/>
      <c r="F103" s="355"/>
      <c r="G103" s="1217">
        <f t="shared" si="81"/>
        <v>0</v>
      </c>
      <c r="H103" s="354"/>
      <c r="I103" s="354"/>
      <c r="J103" s="355"/>
      <c r="K103" s="1217">
        <f t="shared" si="82"/>
        <v>0</v>
      </c>
      <c r="L103" s="354"/>
      <c r="M103" s="354"/>
      <c r="N103" s="355"/>
      <c r="O103" s="1217">
        <f t="shared" si="83"/>
        <v>0</v>
      </c>
      <c r="P103" s="354"/>
      <c r="Q103" s="354"/>
      <c r="R103" s="355"/>
      <c r="S103" s="1217">
        <f t="shared" si="84"/>
        <v>0</v>
      </c>
      <c r="T103" s="354"/>
      <c r="U103" s="354"/>
      <c r="V103" s="355"/>
    </row>
    <row r="104" spans="1:22" s="341" customFormat="1">
      <c r="A104" s="376" t="s">
        <v>581</v>
      </c>
      <c r="B104" s="1257" t="s">
        <v>582</v>
      </c>
      <c r="C104" s="1217">
        <f t="shared" si="80"/>
        <v>0</v>
      </c>
      <c r="D104" s="354"/>
      <c r="E104" s="354"/>
      <c r="F104" s="355"/>
      <c r="G104" s="1217">
        <f t="shared" si="81"/>
        <v>0</v>
      </c>
      <c r="H104" s="354"/>
      <c r="I104" s="354"/>
      <c r="J104" s="355"/>
      <c r="K104" s="1217">
        <f t="shared" si="82"/>
        <v>0</v>
      </c>
      <c r="L104" s="354"/>
      <c r="M104" s="354"/>
      <c r="N104" s="355"/>
      <c r="O104" s="1217">
        <f t="shared" si="83"/>
        <v>0</v>
      </c>
      <c r="P104" s="354"/>
      <c r="Q104" s="354"/>
      <c r="R104" s="355"/>
      <c r="S104" s="1217">
        <f t="shared" si="84"/>
        <v>0</v>
      </c>
      <c r="T104" s="354"/>
      <c r="U104" s="354"/>
      <c r="V104" s="355"/>
    </row>
    <row r="105" spans="1:22" s="341" customFormat="1">
      <c r="A105" s="377"/>
      <c r="B105" s="383" t="s">
        <v>82</v>
      </c>
      <c r="C105" s="1220">
        <f>SUM(D105:F105)</f>
        <v>275730</v>
      </c>
      <c r="D105" s="378">
        <f>SUM(D100:D104)</f>
        <v>273796.8</v>
      </c>
      <c r="E105" s="378">
        <f t="shared" ref="E105:F105" si="85">SUM(E100:E104)</f>
        <v>0</v>
      </c>
      <c r="F105" s="383">
        <f t="shared" si="85"/>
        <v>1933.2</v>
      </c>
      <c r="G105" s="1220">
        <f>SUM(H105:J105)</f>
        <v>411055.00000000006</v>
      </c>
      <c r="H105" s="378">
        <f>SUM(H100:H104)</f>
        <v>409121.80000000005</v>
      </c>
      <c r="I105" s="378">
        <f t="shared" ref="I105" si="86">SUM(I100:I104)</f>
        <v>0</v>
      </c>
      <c r="J105" s="383">
        <f t="shared" ref="J105" si="87">SUM(J100:J104)</f>
        <v>1933.2</v>
      </c>
      <c r="K105" s="1220">
        <f>SUM(L105:N105)</f>
        <v>538089</v>
      </c>
      <c r="L105" s="378">
        <f>SUM(L100:L104)</f>
        <v>535754.54</v>
      </c>
      <c r="M105" s="378">
        <f t="shared" ref="M105" si="88">SUM(M100:M104)</f>
        <v>0</v>
      </c>
      <c r="N105" s="383">
        <f t="shared" ref="N105" si="89">SUM(N100:N104)</f>
        <v>2334.46</v>
      </c>
      <c r="O105" s="1220">
        <f>SUM(P105:R105)</f>
        <v>426850.76000000007</v>
      </c>
      <c r="P105" s="378">
        <f>SUM(P100:P104)</f>
        <v>424516.30000000005</v>
      </c>
      <c r="Q105" s="378">
        <f t="shared" ref="Q105" si="90">SUM(Q100:Q104)</f>
        <v>0</v>
      </c>
      <c r="R105" s="383">
        <f t="shared" ref="R105" si="91">SUM(R100:R104)</f>
        <v>2334.46</v>
      </c>
      <c r="S105" s="1220">
        <f>SUM(T105:V105)</f>
        <v>613863.0866712851</v>
      </c>
      <c r="T105" s="378">
        <f>SUM(T100:T104)</f>
        <v>611528.62667128514</v>
      </c>
      <c r="U105" s="378">
        <f t="shared" ref="U105:V105" si="92">SUM(U100:U104)</f>
        <v>0</v>
      </c>
      <c r="V105" s="383">
        <f t="shared" si="92"/>
        <v>2334.46</v>
      </c>
    </row>
    <row r="106" spans="1:22" s="356" customFormat="1">
      <c r="A106" s="345" t="s">
        <v>108</v>
      </c>
      <c r="B106" s="1240" t="s">
        <v>4</v>
      </c>
      <c r="C106" s="1217"/>
      <c r="D106" s="357"/>
      <c r="E106" s="357"/>
      <c r="F106" s="358"/>
      <c r="G106" s="1217"/>
      <c r="H106" s="357"/>
      <c r="I106" s="357"/>
      <c r="J106" s="358"/>
      <c r="K106" s="1217"/>
      <c r="L106" s="357"/>
      <c r="M106" s="357"/>
      <c r="N106" s="358"/>
      <c r="O106" s="1217"/>
      <c r="P106" s="357"/>
      <c r="Q106" s="357"/>
      <c r="R106" s="358"/>
      <c r="S106" s="1217"/>
      <c r="T106" s="357"/>
      <c r="U106" s="357"/>
      <c r="V106" s="358"/>
    </row>
    <row r="107" spans="1:22" s="356" customFormat="1">
      <c r="A107" s="376" t="s">
        <v>226</v>
      </c>
      <c r="B107" s="1231" t="s">
        <v>51</v>
      </c>
      <c r="C107" s="1217">
        <f t="shared" ref="C107:C113" si="93">SUM(D107:F107)</f>
        <v>0</v>
      </c>
      <c r="D107" s="354"/>
      <c r="E107" s="354"/>
      <c r="F107" s="355"/>
      <c r="G107" s="1217">
        <f t="shared" ref="G107:G113" si="94">SUM(H107:J107)</f>
        <v>0</v>
      </c>
      <c r="H107" s="438"/>
      <c r="I107" s="438"/>
      <c r="J107" s="439"/>
      <c r="K107" s="1217">
        <f t="shared" ref="K107:K113" si="95">SUM(L107:N107)</f>
        <v>0</v>
      </c>
      <c r="L107" s="438"/>
      <c r="M107" s="438"/>
      <c r="N107" s="439"/>
      <c r="O107" s="1217">
        <f t="shared" ref="O107:O113" si="96">SUM(P107:R107)</f>
        <v>0</v>
      </c>
      <c r="P107" s="354"/>
      <c r="Q107" s="354"/>
      <c r="R107" s="355"/>
      <c r="S107" s="1217">
        <f t="shared" ref="S107:S113" si="97">SUM(T107:V107)</f>
        <v>0</v>
      </c>
      <c r="T107" s="354"/>
      <c r="U107" s="354"/>
      <c r="V107" s="355"/>
    </row>
    <row r="108" spans="1:22" s="356" customFormat="1">
      <c r="A108" s="376" t="s">
        <v>227</v>
      </c>
      <c r="B108" s="1231" t="s">
        <v>52</v>
      </c>
      <c r="C108" s="1217">
        <f t="shared" si="93"/>
        <v>0</v>
      </c>
      <c r="D108" s="354"/>
      <c r="E108" s="354"/>
      <c r="F108" s="355"/>
      <c r="G108" s="1217">
        <f t="shared" si="94"/>
        <v>0</v>
      </c>
      <c r="H108" s="438"/>
      <c r="I108" s="438"/>
      <c r="J108" s="439"/>
      <c r="K108" s="1217">
        <f t="shared" si="95"/>
        <v>0</v>
      </c>
      <c r="L108" s="438"/>
      <c r="M108" s="438"/>
      <c r="N108" s="439"/>
      <c r="O108" s="1217">
        <f t="shared" si="96"/>
        <v>0</v>
      </c>
      <c r="P108" s="354"/>
      <c r="Q108" s="354"/>
      <c r="R108" s="355"/>
      <c r="S108" s="1217">
        <f t="shared" si="97"/>
        <v>0</v>
      </c>
      <c r="T108" s="354"/>
      <c r="U108" s="354"/>
      <c r="V108" s="355"/>
    </row>
    <row r="109" spans="1:22" s="356" customFormat="1">
      <c r="A109" s="376" t="s">
        <v>228</v>
      </c>
      <c r="B109" s="1231" t="s">
        <v>53</v>
      </c>
      <c r="C109" s="1217">
        <f t="shared" si="93"/>
        <v>0</v>
      </c>
      <c r="D109" s="354"/>
      <c r="E109" s="354"/>
      <c r="F109" s="355"/>
      <c r="G109" s="1217">
        <f t="shared" si="94"/>
        <v>0</v>
      </c>
      <c r="H109" s="438"/>
      <c r="I109" s="438"/>
      <c r="J109" s="439"/>
      <c r="K109" s="1217">
        <f t="shared" si="95"/>
        <v>39</v>
      </c>
      <c r="L109" s="438"/>
      <c r="M109" s="438"/>
      <c r="N109" s="439">
        <v>39</v>
      </c>
      <c r="O109" s="1217">
        <f t="shared" si="96"/>
        <v>0</v>
      </c>
      <c r="P109" s="354"/>
      <c r="Q109" s="354"/>
      <c r="R109" s="355"/>
      <c r="S109" s="1217">
        <f t="shared" si="97"/>
        <v>0</v>
      </c>
      <c r="T109" s="354"/>
      <c r="U109" s="354"/>
      <c r="V109" s="355"/>
    </row>
    <row r="110" spans="1:22" s="356" customFormat="1">
      <c r="A110" s="376" t="s">
        <v>229</v>
      </c>
      <c r="B110" s="1231" t="s">
        <v>5</v>
      </c>
      <c r="C110" s="1217">
        <f t="shared" si="93"/>
        <v>0</v>
      </c>
      <c r="D110" s="354"/>
      <c r="E110" s="354"/>
      <c r="F110" s="355"/>
      <c r="G110" s="1217">
        <f t="shared" si="94"/>
        <v>0</v>
      </c>
      <c r="H110" s="438"/>
      <c r="I110" s="438"/>
      <c r="J110" s="439"/>
      <c r="K110" s="1217">
        <f t="shared" si="95"/>
        <v>0</v>
      </c>
      <c r="L110" s="438"/>
      <c r="M110" s="438"/>
      <c r="N110" s="439"/>
      <c r="O110" s="1217">
        <f t="shared" si="96"/>
        <v>0</v>
      </c>
      <c r="P110" s="354"/>
      <c r="Q110" s="354"/>
      <c r="R110" s="355"/>
      <c r="S110" s="1217">
        <f t="shared" si="97"/>
        <v>0</v>
      </c>
      <c r="T110" s="354"/>
      <c r="U110" s="354"/>
      <c r="V110" s="355"/>
    </row>
    <row r="111" spans="1:22" s="341" customFormat="1">
      <c r="A111" s="376" t="s">
        <v>238</v>
      </c>
      <c r="B111" s="1231" t="s">
        <v>335</v>
      </c>
      <c r="C111" s="1217">
        <f t="shared" si="93"/>
        <v>0</v>
      </c>
      <c r="D111" s="354"/>
      <c r="E111" s="354"/>
      <c r="F111" s="355"/>
      <c r="G111" s="1217">
        <f t="shared" si="94"/>
        <v>570.70000000000005</v>
      </c>
      <c r="H111" s="438">
        <v>513.70000000000005</v>
      </c>
      <c r="I111" s="438"/>
      <c r="J111" s="439">
        <v>57</v>
      </c>
      <c r="K111" s="1217">
        <f t="shared" si="95"/>
        <v>913.8</v>
      </c>
      <c r="L111" s="438">
        <v>822.41</v>
      </c>
      <c r="M111" s="438"/>
      <c r="N111" s="439">
        <v>91.39</v>
      </c>
      <c r="O111" s="1217">
        <f t="shared" si="96"/>
        <v>913.8</v>
      </c>
      <c r="P111" s="354">
        <v>822.42</v>
      </c>
      <c r="Q111" s="354"/>
      <c r="R111" s="355">
        <v>91.38</v>
      </c>
      <c r="S111" s="1217">
        <f t="shared" si="97"/>
        <v>936.64499999999987</v>
      </c>
      <c r="T111" s="354">
        <f t="shared" ref="T111" si="98">P111*1.025</f>
        <v>842.98049999999989</v>
      </c>
      <c r="U111" s="354"/>
      <c r="V111" s="355">
        <f t="shared" ref="V111" si="99">R111*1.025</f>
        <v>93.66449999999999</v>
      </c>
    </row>
    <row r="112" spans="1:22" s="356" customFormat="1">
      <c r="A112" s="376" t="s">
        <v>336</v>
      </c>
      <c r="B112" s="1258" t="s">
        <v>892</v>
      </c>
      <c r="C112" s="1217">
        <f t="shared" si="93"/>
        <v>0</v>
      </c>
      <c r="D112" s="354"/>
      <c r="E112" s="354"/>
      <c r="F112" s="355"/>
      <c r="G112" s="1217">
        <f t="shared" si="94"/>
        <v>0</v>
      </c>
      <c r="H112" s="438"/>
      <c r="I112" s="438"/>
      <c r="J112" s="439"/>
      <c r="K112" s="1217">
        <f t="shared" si="95"/>
        <v>0</v>
      </c>
      <c r="L112" s="438"/>
      <c r="M112" s="438"/>
      <c r="N112" s="439"/>
      <c r="O112" s="1217">
        <f t="shared" si="96"/>
        <v>0</v>
      </c>
      <c r="P112" s="354"/>
      <c r="Q112" s="354"/>
      <c r="R112" s="355"/>
      <c r="S112" s="1217">
        <f t="shared" si="97"/>
        <v>0</v>
      </c>
      <c r="T112" s="354"/>
      <c r="U112" s="354"/>
      <c r="V112" s="355"/>
    </row>
    <row r="113" spans="1:22" s="356" customFormat="1">
      <c r="A113" s="376" t="s">
        <v>337</v>
      </c>
      <c r="B113" s="1258"/>
      <c r="C113" s="1217">
        <f t="shared" si="93"/>
        <v>0</v>
      </c>
      <c r="D113" s="354"/>
      <c r="E113" s="354"/>
      <c r="F113" s="355"/>
      <c r="G113" s="1217">
        <f t="shared" si="94"/>
        <v>0</v>
      </c>
      <c r="H113" s="438"/>
      <c r="I113" s="438"/>
      <c r="J113" s="439"/>
      <c r="K113" s="1217">
        <f t="shared" si="95"/>
        <v>0</v>
      </c>
      <c r="L113" s="354"/>
      <c r="M113" s="354"/>
      <c r="N113" s="355"/>
      <c r="O113" s="1217">
        <f t="shared" si="96"/>
        <v>0</v>
      </c>
      <c r="P113" s="354"/>
      <c r="Q113" s="354"/>
      <c r="R113" s="355"/>
      <c r="S113" s="1217">
        <f t="shared" si="97"/>
        <v>0</v>
      </c>
      <c r="T113" s="354"/>
      <c r="U113" s="354"/>
      <c r="V113" s="355"/>
    </row>
    <row r="114" spans="1:22" s="356" customFormat="1">
      <c r="A114" s="386"/>
      <c r="B114" s="1259" t="s">
        <v>574</v>
      </c>
      <c r="C114" s="1225">
        <f>SUM(D114:F114)</f>
        <v>0</v>
      </c>
      <c r="D114" s="387">
        <f>SUM(D107:D113)</f>
        <v>0</v>
      </c>
      <c r="E114" s="387">
        <f t="shared" ref="E114:F114" si="100">SUM(E107:E113)</f>
        <v>0</v>
      </c>
      <c r="F114" s="1259">
        <f t="shared" si="100"/>
        <v>0</v>
      </c>
      <c r="G114" s="1225">
        <f>SUM(H114:J114)</f>
        <v>570.70000000000005</v>
      </c>
      <c r="H114" s="387">
        <f>SUM(H107:H113)</f>
        <v>513.70000000000005</v>
      </c>
      <c r="I114" s="387">
        <f t="shared" ref="I114" si="101">SUM(I107:I113)</f>
        <v>0</v>
      </c>
      <c r="J114" s="1259">
        <f t="shared" ref="J114" si="102">SUM(J107:J113)</f>
        <v>57</v>
      </c>
      <c r="K114" s="1225">
        <f>SUM(L114:N114)</f>
        <v>952.8</v>
      </c>
      <c r="L114" s="387">
        <f>SUM(L107:L113)</f>
        <v>822.41</v>
      </c>
      <c r="M114" s="387">
        <f t="shared" ref="M114" si="103">SUM(M107:M113)</f>
        <v>0</v>
      </c>
      <c r="N114" s="1259">
        <f t="shared" ref="N114" si="104">SUM(N107:N113)</f>
        <v>130.38999999999999</v>
      </c>
      <c r="O114" s="1225">
        <f>SUM(P114:R114)</f>
        <v>913.8</v>
      </c>
      <c r="P114" s="387">
        <f>SUM(P107:P113)</f>
        <v>822.42</v>
      </c>
      <c r="Q114" s="387">
        <f t="shared" ref="Q114" si="105">SUM(Q107:Q113)</f>
        <v>0</v>
      </c>
      <c r="R114" s="1259">
        <f t="shared" ref="R114" si="106">SUM(R107:R113)</f>
        <v>91.38</v>
      </c>
      <c r="S114" s="1225">
        <f>SUM(T114:V114)</f>
        <v>936.64499999999987</v>
      </c>
      <c r="T114" s="387">
        <f>SUM(T107:T113)</f>
        <v>842.98049999999989</v>
      </c>
      <c r="U114" s="387">
        <f t="shared" ref="U114:V114" si="107">SUM(U107:U113)</f>
        <v>0</v>
      </c>
      <c r="V114" s="1259">
        <f t="shared" si="107"/>
        <v>93.66449999999999</v>
      </c>
    </row>
    <row r="115" spans="1:22" s="341" customFormat="1">
      <c r="A115" s="365"/>
      <c r="B115" s="373"/>
      <c r="C115" s="1226"/>
      <c r="D115" s="374"/>
      <c r="E115" s="374"/>
      <c r="F115" s="373"/>
      <c r="G115" s="1226"/>
      <c r="H115" s="374"/>
      <c r="I115" s="374"/>
      <c r="J115" s="373"/>
      <c r="K115" s="1226"/>
      <c r="L115" s="374"/>
      <c r="M115" s="374"/>
      <c r="N115" s="373"/>
      <c r="O115" s="1226"/>
      <c r="P115" s="374"/>
      <c r="Q115" s="374"/>
      <c r="R115" s="373"/>
      <c r="S115" s="1226"/>
      <c r="T115" s="374"/>
      <c r="U115" s="374"/>
      <c r="V115" s="373"/>
    </row>
    <row r="116" spans="1:22" s="356" customFormat="1">
      <c r="A116" s="360"/>
      <c r="B116" s="1235" t="s">
        <v>66</v>
      </c>
      <c r="C116" s="1218">
        <f>SUM(D116:F116)</f>
        <v>1350013.3900000001</v>
      </c>
      <c r="D116" s="363">
        <f t="shared" ref="D116:E116" si="108">SUM(D41,D98,D105,D114)</f>
        <v>1164862.5</v>
      </c>
      <c r="E116" s="363">
        <f t="shared" si="108"/>
        <v>7043.9999999999991</v>
      </c>
      <c r="F116" s="364">
        <f>SUM(F41,F98,F105,F114)</f>
        <v>178106.89</v>
      </c>
      <c r="G116" s="1218">
        <f>SUM(H116:J116)</f>
        <v>1803090.7920000001</v>
      </c>
      <c r="H116" s="363">
        <f t="shared" ref="H116:I116" si="109">SUM(H41,H98,H105,H114)</f>
        <v>1532976.5020000001</v>
      </c>
      <c r="I116" s="363">
        <f t="shared" si="109"/>
        <v>6553.9999999999991</v>
      </c>
      <c r="J116" s="364">
        <f>SUM(J41,J98,J105,J114)</f>
        <v>263560.28999999998</v>
      </c>
      <c r="K116" s="1218">
        <f>SUM(L116:N116)</f>
        <v>2161414.1050000004</v>
      </c>
      <c r="L116" s="363">
        <f t="shared" ref="L116:M116" si="110">SUM(L41,L98,L105,L114)</f>
        <v>1934459.0288000002</v>
      </c>
      <c r="M116" s="363">
        <f t="shared" si="110"/>
        <v>25646</v>
      </c>
      <c r="N116" s="364">
        <f>SUM(N41,N98,N105,N114)</f>
        <v>201309.07620000001</v>
      </c>
      <c r="O116" s="1218">
        <f>SUM(P116:R116)</f>
        <v>2157952.6044401866</v>
      </c>
      <c r="P116" s="363">
        <f t="shared" ref="P116:Q116" si="111">SUM(P41,P98,P105,P114)</f>
        <v>1893464.231135539</v>
      </c>
      <c r="Q116" s="363">
        <f t="shared" si="111"/>
        <v>0</v>
      </c>
      <c r="R116" s="364">
        <f>SUM(R41,R98,R105,R114)</f>
        <v>264488.37330464751</v>
      </c>
      <c r="S116" s="1218">
        <f>SUM(T116:V116)</f>
        <v>2590914.9624300343</v>
      </c>
      <c r="T116" s="363">
        <f t="shared" ref="T116:U116" si="112">SUM(T41,T98,T105,T114)</f>
        <v>2317682.6446114867</v>
      </c>
      <c r="U116" s="363">
        <f t="shared" si="112"/>
        <v>0</v>
      </c>
      <c r="V116" s="364">
        <f>SUM(V41,V98,V105,V114)</f>
        <v>273232.31781854766</v>
      </c>
    </row>
    <row r="117" spans="1:22" s="356" customFormat="1">
      <c r="A117" s="345"/>
      <c r="B117" s="1260"/>
      <c r="C117" s="1217"/>
      <c r="D117" s="357"/>
      <c r="E117" s="357"/>
      <c r="F117" s="358"/>
      <c r="G117" s="1217"/>
      <c r="H117" s="357"/>
      <c r="I117" s="357"/>
      <c r="J117" s="358"/>
      <c r="K117" s="1217"/>
      <c r="L117" s="357"/>
      <c r="M117" s="357"/>
      <c r="N117" s="358"/>
      <c r="O117" s="1217"/>
      <c r="P117" s="357"/>
      <c r="Q117" s="357"/>
      <c r="R117" s="358"/>
      <c r="S117" s="1217"/>
      <c r="T117" s="357"/>
      <c r="U117" s="357"/>
      <c r="V117" s="358"/>
    </row>
    <row r="118" spans="1:22" s="356" customFormat="1">
      <c r="A118" s="360"/>
      <c r="B118" s="1235" t="s">
        <v>67</v>
      </c>
      <c r="C118" s="1218">
        <f>SUM(D118:F118)</f>
        <v>2074922.6436000001</v>
      </c>
      <c r="D118" s="363">
        <f t="shared" ref="D118:E118" si="113">D29-D116</f>
        <v>2061134.5</v>
      </c>
      <c r="E118" s="363">
        <f t="shared" si="113"/>
        <v>0</v>
      </c>
      <c r="F118" s="364">
        <f>F29-F116</f>
        <v>13788.143599999981</v>
      </c>
      <c r="G118" s="1218">
        <f>SUM(H118:J118)</f>
        <v>178635.70799999984</v>
      </c>
      <c r="H118" s="363">
        <f t="shared" ref="H118:I118" si="114">H29-H116</f>
        <v>72517.41799999983</v>
      </c>
      <c r="I118" s="363">
        <f t="shared" si="114"/>
        <v>-0.33999999999923602</v>
      </c>
      <c r="J118" s="364">
        <f>J29-J116</f>
        <v>106118.63</v>
      </c>
      <c r="K118" s="1218">
        <f>SUM(L118:N118)</f>
        <v>-186055.87750000024</v>
      </c>
      <c r="L118" s="363">
        <f t="shared" ref="L118:M118" si="115">L29-L116</f>
        <v>-506316.0288000002</v>
      </c>
      <c r="M118" s="363">
        <f t="shared" si="115"/>
        <v>0</v>
      </c>
      <c r="N118" s="364">
        <f>N29-N116</f>
        <v>320260.15129999997</v>
      </c>
      <c r="O118" s="1218">
        <f>SUM(P118:R118)</f>
        <v>-101379.68863483262</v>
      </c>
      <c r="P118" s="363">
        <f t="shared" ref="P118:Q118" si="116">P29-P116</f>
        <v>-376356.71124553913</v>
      </c>
      <c r="Q118" s="363">
        <f t="shared" si="116"/>
        <v>0</v>
      </c>
      <c r="R118" s="364">
        <f>R29-R116</f>
        <v>274977.02261070651</v>
      </c>
      <c r="S118" s="1218">
        <f>SUM(T118:V118)</f>
        <v>406745.56280564336</v>
      </c>
      <c r="T118" s="363">
        <f t="shared" ref="T118:U118" si="117">T29-T116</f>
        <v>255477.12862419104</v>
      </c>
      <c r="U118" s="363">
        <f t="shared" si="117"/>
        <v>0</v>
      </c>
      <c r="V118" s="364">
        <f>V29-V116</f>
        <v>151268.43418145232</v>
      </c>
    </row>
    <row r="119" spans="1:22" s="356" customFormat="1">
      <c r="A119" s="345" t="s">
        <v>30</v>
      </c>
      <c r="B119" s="1240" t="s">
        <v>54</v>
      </c>
      <c r="C119" s="1217"/>
      <c r="D119" s="357"/>
      <c r="E119" s="357"/>
      <c r="F119" s="358"/>
      <c r="G119" s="1217"/>
      <c r="H119" s="357"/>
      <c r="I119" s="357"/>
      <c r="J119" s="358"/>
      <c r="K119" s="1217"/>
      <c r="L119" s="357"/>
      <c r="M119" s="357"/>
      <c r="N119" s="358"/>
      <c r="O119" s="1217"/>
      <c r="P119" s="357"/>
      <c r="Q119" s="357"/>
      <c r="R119" s="358"/>
      <c r="S119" s="1217"/>
      <c r="T119" s="357"/>
      <c r="U119" s="357"/>
      <c r="V119" s="358"/>
    </row>
    <row r="120" spans="1:22" s="356" customFormat="1">
      <c r="A120" s="376" t="s">
        <v>31</v>
      </c>
      <c r="B120" s="1230" t="s">
        <v>177</v>
      </c>
      <c r="C120" s="1217">
        <f t="shared" ref="C120:C121" si="118">SUM(D120:F120)</f>
        <v>0</v>
      </c>
      <c r="D120" s="354"/>
      <c r="E120" s="354"/>
      <c r="F120" s="355"/>
      <c r="G120" s="1217">
        <f t="shared" ref="G120:G121" si="119">SUM(H120:J120)</f>
        <v>0</v>
      </c>
      <c r="H120" s="354"/>
      <c r="I120" s="354"/>
      <c r="J120" s="355"/>
      <c r="K120" s="1217">
        <f t="shared" ref="K120:K121" si="120">SUM(L120:N120)</f>
        <v>0</v>
      </c>
      <c r="L120" s="354"/>
      <c r="M120" s="354"/>
      <c r="N120" s="355"/>
      <c r="O120" s="1217">
        <f t="shared" ref="O120:O121" si="121">SUM(P120:R120)</f>
        <v>0</v>
      </c>
      <c r="P120" s="354"/>
      <c r="Q120" s="354"/>
      <c r="R120" s="355"/>
      <c r="S120" s="1217">
        <f t="shared" ref="S120:S121" si="122">SUM(T120:V120)</f>
        <v>0</v>
      </c>
      <c r="T120" s="354"/>
      <c r="U120" s="354"/>
      <c r="V120" s="355"/>
    </row>
    <row r="121" spans="1:22" s="356" customFormat="1">
      <c r="A121" s="376" t="s">
        <v>32</v>
      </c>
      <c r="B121" s="1231" t="s">
        <v>338</v>
      </c>
      <c r="C121" s="1217">
        <f t="shared" si="118"/>
        <v>1165.55</v>
      </c>
      <c r="D121" s="354"/>
      <c r="E121" s="354"/>
      <c r="F121" s="355">
        <v>1165.55</v>
      </c>
      <c r="G121" s="1217">
        <f t="shared" si="119"/>
        <v>1187.4000000000001</v>
      </c>
      <c r="H121" s="354"/>
      <c r="I121" s="354"/>
      <c r="J121" s="355">
        <v>1187.4000000000001</v>
      </c>
      <c r="K121" s="1217">
        <f t="shared" si="120"/>
        <v>1354</v>
      </c>
      <c r="L121" s="354"/>
      <c r="M121" s="354"/>
      <c r="N121" s="439">
        <f>1187+167</f>
        <v>1354</v>
      </c>
      <c r="O121" s="1217">
        <f t="shared" si="121"/>
        <v>0</v>
      </c>
      <c r="P121" s="354"/>
      <c r="Q121" s="354"/>
      <c r="R121" s="355"/>
      <c r="S121" s="1217">
        <f t="shared" si="122"/>
        <v>0</v>
      </c>
      <c r="T121" s="354"/>
      <c r="U121" s="354"/>
      <c r="V121" s="355"/>
    </row>
    <row r="122" spans="1:22" s="341" customFormat="1">
      <c r="A122" s="386"/>
      <c r="B122" s="1259" t="s">
        <v>1</v>
      </c>
      <c r="C122" s="1225">
        <f>SUM(D122:F122)</f>
        <v>1165.55</v>
      </c>
      <c r="D122" s="387">
        <f>SUM(D120:D121)</f>
        <v>0</v>
      </c>
      <c r="E122" s="387">
        <f t="shared" ref="E122:F122" si="123">SUM(E120:E121)</f>
        <v>0</v>
      </c>
      <c r="F122" s="1259">
        <f t="shared" si="123"/>
        <v>1165.55</v>
      </c>
      <c r="G122" s="1225">
        <f>SUM(H122:J122)</f>
        <v>1187.4000000000001</v>
      </c>
      <c r="H122" s="387">
        <f>SUM(H120:H121)</f>
        <v>0</v>
      </c>
      <c r="I122" s="387">
        <f t="shared" ref="I122" si="124">SUM(I120:I121)</f>
        <v>0</v>
      </c>
      <c r="J122" s="1259">
        <f t="shared" ref="J122" si="125">SUM(J120:J121)</f>
        <v>1187.4000000000001</v>
      </c>
      <c r="K122" s="1225">
        <f>SUM(L122:N122)</f>
        <v>1354</v>
      </c>
      <c r="L122" s="387">
        <f>SUM(L120:L121)</f>
        <v>0</v>
      </c>
      <c r="M122" s="387">
        <f t="shared" ref="M122" si="126">SUM(M120:M121)</f>
        <v>0</v>
      </c>
      <c r="N122" s="1259">
        <f t="shared" ref="N122" si="127">SUM(N120:N121)</f>
        <v>1354</v>
      </c>
      <c r="O122" s="1225">
        <f>SUM(P122:R122)</f>
        <v>0</v>
      </c>
      <c r="P122" s="387">
        <f>SUM(P120:P121)</f>
        <v>0</v>
      </c>
      <c r="Q122" s="387">
        <f t="shared" ref="Q122" si="128">SUM(Q120:Q121)</f>
        <v>0</v>
      </c>
      <c r="R122" s="1259">
        <f t="shared" ref="R122" si="129">SUM(R120:R121)</f>
        <v>0</v>
      </c>
      <c r="S122" s="1225">
        <f>SUM(T122:V122)</f>
        <v>0</v>
      </c>
      <c r="T122" s="387">
        <f>SUM(T120:T121)</f>
        <v>0</v>
      </c>
      <c r="U122" s="387">
        <f t="shared" ref="U122:V122" si="130">SUM(U120:U121)</f>
        <v>0</v>
      </c>
      <c r="V122" s="1259">
        <f t="shared" si="130"/>
        <v>0</v>
      </c>
    </row>
    <row r="123" spans="1:22" s="341" customFormat="1">
      <c r="A123" s="345" t="s">
        <v>33</v>
      </c>
      <c r="B123" s="1240" t="s">
        <v>0</v>
      </c>
      <c r="C123" s="1217"/>
      <c r="D123" s="357"/>
      <c r="E123" s="357"/>
      <c r="F123" s="358"/>
      <c r="G123" s="1217"/>
      <c r="H123" s="357"/>
      <c r="I123" s="357"/>
      <c r="J123" s="358"/>
      <c r="K123" s="1217"/>
      <c r="L123" s="357"/>
      <c r="M123" s="357"/>
      <c r="N123" s="358"/>
      <c r="O123" s="1217"/>
      <c r="P123" s="357"/>
      <c r="Q123" s="357"/>
      <c r="R123" s="358"/>
      <c r="S123" s="1217"/>
      <c r="T123" s="357"/>
      <c r="U123" s="357"/>
      <c r="V123" s="358"/>
    </row>
    <row r="124" spans="1:22" s="356" customFormat="1">
      <c r="A124" s="376" t="s">
        <v>34</v>
      </c>
      <c r="B124" s="1230" t="s">
        <v>178</v>
      </c>
      <c r="C124" s="1217">
        <f t="shared" ref="C124:C126" si="131">SUM(D124:F124)</f>
        <v>0</v>
      </c>
      <c r="D124" s="354"/>
      <c r="E124" s="354"/>
      <c r="F124" s="355"/>
      <c r="G124" s="1217">
        <f t="shared" ref="G124:G126" si="132">SUM(H124:J124)</f>
        <v>0</v>
      </c>
      <c r="H124" s="354"/>
      <c r="I124" s="354"/>
      <c r="J124" s="355"/>
      <c r="K124" s="1217">
        <f t="shared" ref="K124:K126" si="133">SUM(L124:N124)</f>
        <v>0</v>
      </c>
      <c r="L124" s="354"/>
      <c r="M124" s="354"/>
      <c r="N124" s="355"/>
      <c r="O124" s="1217">
        <f t="shared" ref="O124:O126" si="134">SUM(P124:R124)</f>
        <v>0</v>
      </c>
      <c r="P124" s="354"/>
      <c r="Q124" s="354"/>
      <c r="R124" s="355"/>
      <c r="S124" s="1217">
        <f t="shared" ref="S124:S126" si="135">SUM(T124:V124)</f>
        <v>0</v>
      </c>
      <c r="T124" s="354"/>
      <c r="U124" s="354"/>
      <c r="V124" s="355"/>
    </row>
    <row r="125" spans="1:22" s="341" customFormat="1">
      <c r="A125" s="376" t="s">
        <v>35</v>
      </c>
      <c r="B125" s="1231" t="s">
        <v>83</v>
      </c>
      <c r="C125" s="1217">
        <f t="shared" si="131"/>
        <v>16203.45</v>
      </c>
      <c r="D125" s="354"/>
      <c r="E125" s="354"/>
      <c r="F125" s="355">
        <v>16203.45</v>
      </c>
      <c r="G125" s="1217">
        <f t="shared" si="132"/>
        <v>39017.5</v>
      </c>
      <c r="H125" s="354"/>
      <c r="I125" s="354"/>
      <c r="J125" s="439">
        <v>39017.5</v>
      </c>
      <c r="K125" s="1217">
        <f t="shared" si="133"/>
        <v>103232</v>
      </c>
      <c r="L125" s="354"/>
      <c r="M125" s="354"/>
      <c r="N125" s="439">
        <f>103232</f>
        <v>103232</v>
      </c>
      <c r="O125" s="1217">
        <f t="shared" si="134"/>
        <v>125399.76</v>
      </c>
      <c r="P125" s="354"/>
      <c r="Q125" s="354"/>
      <c r="R125" s="355">
        <v>125399.76</v>
      </c>
      <c r="S125" s="1217">
        <f t="shared" si="135"/>
        <v>111882</v>
      </c>
      <c r="T125" s="354"/>
      <c r="U125" s="354"/>
      <c r="V125" s="355">
        <v>111882</v>
      </c>
    </row>
    <row r="126" spans="1:22" s="356" customFormat="1">
      <c r="A126" s="376" t="s">
        <v>109</v>
      </c>
      <c r="B126" s="1231" t="s">
        <v>55</v>
      </c>
      <c r="C126" s="1217">
        <f t="shared" si="131"/>
        <v>636</v>
      </c>
      <c r="D126" s="354"/>
      <c r="E126" s="354"/>
      <c r="F126" s="355">
        <v>636</v>
      </c>
      <c r="G126" s="1217">
        <f t="shared" si="132"/>
        <v>0</v>
      </c>
      <c r="H126" s="354"/>
      <c r="I126" s="354"/>
      <c r="J126" s="355"/>
      <c r="K126" s="1217">
        <f t="shared" si="133"/>
        <v>0</v>
      </c>
      <c r="L126" s="354"/>
      <c r="M126" s="354"/>
      <c r="N126" s="355"/>
      <c r="O126" s="1217">
        <f t="shared" si="134"/>
        <v>0</v>
      </c>
      <c r="P126" s="354"/>
      <c r="Q126" s="354"/>
      <c r="R126" s="355"/>
      <c r="S126" s="1217">
        <f t="shared" si="135"/>
        <v>0</v>
      </c>
      <c r="T126" s="354"/>
      <c r="U126" s="354"/>
      <c r="V126" s="355"/>
    </row>
    <row r="127" spans="1:22" s="356" customFormat="1">
      <c r="A127" s="386"/>
      <c r="B127" s="1259" t="s">
        <v>179</v>
      </c>
      <c r="C127" s="1225">
        <f>SUM(D127:F127)</f>
        <v>16839.45</v>
      </c>
      <c r="D127" s="387">
        <f>SUM(D124:D126)</f>
        <v>0</v>
      </c>
      <c r="E127" s="387">
        <f t="shared" ref="E127:F127" si="136">SUM(E124:E126)</f>
        <v>0</v>
      </c>
      <c r="F127" s="1259">
        <f t="shared" si="136"/>
        <v>16839.45</v>
      </c>
      <c r="G127" s="1225">
        <f>SUM(H127:J127)</f>
        <v>39017.5</v>
      </c>
      <c r="H127" s="387">
        <f>SUM(H124:H126)</f>
        <v>0</v>
      </c>
      <c r="I127" s="387">
        <f t="shared" ref="I127" si="137">SUM(I124:I126)</f>
        <v>0</v>
      </c>
      <c r="J127" s="1259">
        <f t="shared" ref="J127" si="138">SUM(J124:J126)</f>
        <v>39017.5</v>
      </c>
      <c r="K127" s="1225">
        <f>SUM(L127:N127)</f>
        <v>103232</v>
      </c>
      <c r="L127" s="387">
        <f>SUM(L124:L126)</f>
        <v>0</v>
      </c>
      <c r="M127" s="387">
        <f t="shared" ref="M127" si="139">SUM(M124:M126)</f>
        <v>0</v>
      </c>
      <c r="N127" s="1259">
        <f t="shared" ref="N127" si="140">SUM(N124:N126)</f>
        <v>103232</v>
      </c>
      <c r="O127" s="1225">
        <f>SUM(P127:R127)</f>
        <v>125399.76</v>
      </c>
      <c r="P127" s="387">
        <f>SUM(P124:P126)</f>
        <v>0</v>
      </c>
      <c r="Q127" s="387">
        <f t="shared" ref="Q127" si="141">SUM(Q124:Q126)</f>
        <v>0</v>
      </c>
      <c r="R127" s="1259">
        <f t="shared" ref="R127" si="142">SUM(R124:R126)</f>
        <v>125399.76</v>
      </c>
      <c r="S127" s="1225">
        <f>SUM(T127:V127)</f>
        <v>111882</v>
      </c>
      <c r="T127" s="387">
        <f>SUM(T124:T126)</f>
        <v>0</v>
      </c>
      <c r="U127" s="387">
        <f t="shared" ref="U127:V127" si="143">SUM(U124:U126)</f>
        <v>0</v>
      </c>
      <c r="V127" s="1259">
        <f t="shared" si="143"/>
        <v>111882</v>
      </c>
    </row>
    <row r="128" spans="1:22" s="341" customFormat="1">
      <c r="A128" s="365"/>
      <c r="B128" s="373"/>
      <c r="C128" s="1226"/>
      <c r="D128" s="374"/>
      <c r="E128" s="374"/>
      <c r="F128" s="373"/>
      <c r="G128" s="1226"/>
      <c r="H128" s="374"/>
      <c r="I128" s="374"/>
      <c r="J128" s="373"/>
      <c r="K128" s="1226"/>
      <c r="L128" s="374"/>
      <c r="M128" s="374"/>
      <c r="N128" s="373"/>
      <c r="O128" s="1226"/>
      <c r="P128" s="374"/>
      <c r="Q128" s="374"/>
      <c r="R128" s="373"/>
      <c r="S128" s="1226"/>
      <c r="T128" s="374"/>
      <c r="U128" s="374"/>
      <c r="V128" s="373"/>
    </row>
    <row r="129" spans="1:36" s="356" customFormat="1" ht="12" customHeight="1">
      <c r="A129" s="388"/>
      <c r="B129" s="1261" t="s">
        <v>180</v>
      </c>
      <c r="C129" s="1218">
        <f>SUM(D129:F129)</f>
        <v>2059248.7435999999</v>
      </c>
      <c r="D129" s="1266">
        <f t="shared" ref="D129:E129" si="144">D118+D122-D127</f>
        <v>2061134.5</v>
      </c>
      <c r="E129" s="1267">
        <f t="shared" si="144"/>
        <v>0</v>
      </c>
      <c r="F129" s="1265">
        <f>F118+F122-F127</f>
        <v>-1885.7564000000202</v>
      </c>
      <c r="G129" s="1218">
        <f>SUM(H129:J129)</f>
        <v>140805.60799999983</v>
      </c>
      <c r="H129" s="1266">
        <f t="shared" ref="H129:I129" si="145">H118+H122-H127</f>
        <v>72517.41799999983</v>
      </c>
      <c r="I129" s="1267">
        <f t="shared" si="145"/>
        <v>-0.33999999999923602</v>
      </c>
      <c r="J129" s="1265">
        <f>J118+J122-J127</f>
        <v>68288.53</v>
      </c>
      <c r="K129" s="1218">
        <f>SUM(L129:N129)</f>
        <v>-287933.87750000024</v>
      </c>
      <c r="L129" s="1266">
        <f t="shared" ref="L129:M129" si="146">L118+L122-L127</f>
        <v>-506316.0288000002</v>
      </c>
      <c r="M129" s="1267">
        <f t="shared" si="146"/>
        <v>0</v>
      </c>
      <c r="N129" s="1265">
        <f>N118+N122-N127</f>
        <v>218382.15129999997</v>
      </c>
      <c r="O129" s="1218">
        <f>SUM(P129:R129)</f>
        <v>-226779.44863483263</v>
      </c>
      <c r="P129" s="1266">
        <f t="shared" ref="P129:Q129" si="147">P118+P122-P127</f>
        <v>-376356.71124553913</v>
      </c>
      <c r="Q129" s="1267">
        <f t="shared" si="147"/>
        <v>0</v>
      </c>
      <c r="R129" s="1265">
        <f>R118+R122-R127</f>
        <v>149577.2626107065</v>
      </c>
      <c r="S129" s="1218">
        <f>SUM(T129:V129)</f>
        <v>294863.56280564336</v>
      </c>
      <c r="T129" s="1266">
        <f t="shared" ref="T129:U129" si="148">T118+T122-T127</f>
        <v>255477.12862419104</v>
      </c>
      <c r="U129" s="1267">
        <f t="shared" si="148"/>
        <v>0</v>
      </c>
      <c r="V129" s="1265">
        <f>V118+V122-V127</f>
        <v>39386.434181452321</v>
      </c>
    </row>
    <row r="130" spans="1:36" s="356" customFormat="1">
      <c r="A130" s="345"/>
      <c r="B130" s="1260"/>
      <c r="C130" s="1219"/>
      <c r="D130" s="372"/>
      <c r="E130" s="372"/>
      <c r="F130" s="373"/>
      <c r="G130" s="1219"/>
      <c r="H130" s="372"/>
      <c r="I130" s="372"/>
      <c r="J130" s="373"/>
      <c r="K130" s="1219"/>
      <c r="L130" s="372"/>
      <c r="M130" s="372"/>
      <c r="N130" s="373"/>
      <c r="O130" s="1219"/>
      <c r="P130" s="372"/>
      <c r="Q130" s="372"/>
      <c r="R130" s="373"/>
      <c r="S130" s="1219"/>
      <c r="T130" s="372"/>
      <c r="U130" s="372"/>
      <c r="V130" s="373"/>
    </row>
    <row r="131" spans="1:36" s="341" customFormat="1">
      <c r="A131" s="345" t="s">
        <v>58</v>
      </c>
      <c r="B131" s="1260" t="s">
        <v>1193</v>
      </c>
      <c r="C131" s="1264">
        <f t="shared" ref="C131" si="149">SUM(D131:F131)</f>
        <v>0</v>
      </c>
      <c r="D131" s="354"/>
      <c r="E131" s="846"/>
      <c r="F131" s="355"/>
      <c r="G131" s="1264">
        <f t="shared" ref="G131" si="150">SUM(H131:J131)</f>
        <v>0</v>
      </c>
      <c r="H131" s="354"/>
      <c r="I131" s="846"/>
      <c r="J131" s="355"/>
      <c r="K131" s="1264">
        <f t="shared" ref="K131" si="151">SUM(L131:N131)</f>
        <v>0</v>
      </c>
      <c r="L131" s="354"/>
      <c r="M131" s="846"/>
      <c r="N131" s="355"/>
      <c r="O131" s="1264">
        <f t="shared" ref="O131" si="152">SUM(P131:R131)</f>
        <v>0</v>
      </c>
      <c r="P131" s="354"/>
      <c r="Q131" s="846"/>
      <c r="R131" s="355"/>
      <c r="S131" s="1264">
        <f t="shared" ref="S131" si="153">SUM(T131:V131)</f>
        <v>0</v>
      </c>
      <c r="T131" s="354"/>
      <c r="U131" s="846"/>
      <c r="V131" s="355"/>
    </row>
    <row r="132" spans="1:36" s="356" customFormat="1" ht="15" customHeight="1">
      <c r="A132" s="345"/>
      <c r="B132" s="1260"/>
      <c r="C132" s="1217"/>
      <c r="D132" s="357"/>
      <c r="E132" s="357"/>
      <c r="F132" s="358"/>
      <c r="G132" s="1217"/>
      <c r="H132" s="357"/>
      <c r="I132" s="357"/>
      <c r="J132" s="358"/>
      <c r="K132" s="1217"/>
      <c r="L132" s="357"/>
      <c r="M132" s="357"/>
      <c r="N132" s="358"/>
      <c r="O132" s="1217"/>
      <c r="P132" s="357"/>
      <c r="Q132" s="357"/>
      <c r="R132" s="358"/>
      <c r="S132" s="1217"/>
      <c r="T132" s="357"/>
      <c r="U132" s="357"/>
      <c r="V132" s="358"/>
    </row>
    <row r="133" spans="1:36" s="356" customFormat="1" ht="13.8" thickBot="1">
      <c r="A133" s="389"/>
      <c r="B133" s="391" t="s">
        <v>181</v>
      </c>
      <c r="C133" s="1227">
        <f>SUM(D133:F133)</f>
        <v>2059248.7435999999</v>
      </c>
      <c r="D133" s="390">
        <f t="shared" ref="D133:E133" si="154">D129-D131</f>
        <v>2061134.5</v>
      </c>
      <c r="E133" s="390">
        <f t="shared" si="154"/>
        <v>0</v>
      </c>
      <c r="F133" s="391">
        <f>F129-F131</f>
        <v>-1885.7564000000202</v>
      </c>
      <c r="G133" s="1227">
        <f>SUM(H133:J133)</f>
        <v>140805.60799999983</v>
      </c>
      <c r="H133" s="390">
        <f t="shared" ref="H133:I133" si="155">H129-H131</f>
        <v>72517.41799999983</v>
      </c>
      <c r="I133" s="390">
        <f t="shared" si="155"/>
        <v>-0.33999999999923602</v>
      </c>
      <c r="J133" s="391">
        <f>J129-J131</f>
        <v>68288.53</v>
      </c>
      <c r="K133" s="1227">
        <f>SUM(L133:N133)</f>
        <v>-287933.87750000024</v>
      </c>
      <c r="L133" s="390">
        <f t="shared" ref="L133:M133" si="156">L129-L131</f>
        <v>-506316.0288000002</v>
      </c>
      <c r="M133" s="390">
        <f t="shared" si="156"/>
        <v>0</v>
      </c>
      <c r="N133" s="391">
        <f>N129-N131</f>
        <v>218382.15129999997</v>
      </c>
      <c r="O133" s="1227">
        <f>SUM(P133:R133)</f>
        <v>-226779.44863483263</v>
      </c>
      <c r="P133" s="390">
        <f t="shared" ref="P133:Q133" si="157">P129-P131</f>
        <v>-376356.71124553913</v>
      </c>
      <c r="Q133" s="390">
        <f t="shared" si="157"/>
        <v>0</v>
      </c>
      <c r="R133" s="391">
        <f>R129-R131</f>
        <v>149577.2626107065</v>
      </c>
      <c r="S133" s="1227">
        <f>SUM(T133:V133)</f>
        <v>294863.56280564336</v>
      </c>
      <c r="T133" s="390">
        <f t="shared" ref="T133:U133" si="158">T129-T131</f>
        <v>255477.12862419104</v>
      </c>
      <c r="U133" s="390">
        <f t="shared" si="158"/>
        <v>0</v>
      </c>
      <c r="V133" s="391">
        <f>V129-V131</f>
        <v>39386.434181452321</v>
      </c>
    </row>
    <row r="134" spans="1:36" s="356" customFormat="1">
      <c r="A134" s="392"/>
      <c r="B134" s="1212" t="s">
        <v>585</v>
      </c>
      <c r="C134" s="393">
        <v>2059249</v>
      </c>
      <c r="D134" s="394"/>
      <c r="E134" s="394"/>
      <c r="G134" s="393">
        <v>140806</v>
      </c>
      <c r="H134" s="394"/>
      <c r="I134" s="394"/>
      <c r="K134" s="393">
        <v>-287934</v>
      </c>
      <c r="L134" s="393"/>
      <c r="M134" s="395"/>
      <c r="N134" s="395"/>
      <c r="O134" s="395"/>
      <c r="P134" s="395"/>
      <c r="Q134" s="395"/>
      <c r="R134" s="395"/>
      <c r="S134" s="395"/>
      <c r="T134" s="395"/>
      <c r="U134" s="395"/>
      <c r="V134" s="395"/>
    </row>
    <row r="135" spans="1:36" s="341" customFormat="1">
      <c r="A135" s="392"/>
      <c r="B135" s="1213" t="s">
        <v>369</v>
      </c>
      <c r="C135" s="393">
        <f>C133-C134</f>
        <v>-0.25640000007115304</v>
      </c>
      <c r="D135" s="394"/>
      <c r="E135" s="394"/>
      <c r="G135" s="528">
        <f>G133-G134</f>
        <v>-0.3920000001671724</v>
      </c>
      <c r="H135" s="394"/>
      <c r="I135" s="394"/>
      <c r="K135" s="528">
        <f>K133-K134</f>
        <v>0.12249999976484105</v>
      </c>
      <c r="L135" s="393"/>
      <c r="M135" s="395"/>
      <c r="N135" s="395"/>
      <c r="O135" s="395"/>
      <c r="P135" s="395"/>
      <c r="Q135" s="395"/>
      <c r="R135" s="395"/>
      <c r="S135" s="395"/>
      <c r="T135" s="395"/>
      <c r="U135" s="395"/>
      <c r="V135" s="395"/>
    </row>
    <row r="136" spans="1:36">
      <c r="C136" s="397"/>
      <c r="D136" s="397"/>
      <c r="E136" s="397"/>
      <c r="F136" s="397"/>
      <c r="G136" s="397"/>
      <c r="H136" s="397"/>
      <c r="I136" s="397"/>
      <c r="J136" s="397"/>
      <c r="K136" s="396"/>
      <c r="L136" s="396"/>
      <c r="M136" s="396"/>
      <c r="N136" s="396"/>
      <c r="O136" s="396"/>
      <c r="P136" s="396"/>
      <c r="Q136" s="396"/>
      <c r="R136" s="396"/>
      <c r="S136" s="396"/>
      <c r="T136" s="396"/>
      <c r="U136" s="396"/>
      <c r="V136" s="396"/>
    </row>
    <row r="137" spans="1:36">
      <c r="C137" s="397"/>
      <c r="D137" s="397"/>
      <c r="E137" s="397"/>
      <c r="F137" s="397"/>
      <c r="G137" s="397"/>
      <c r="H137" s="397"/>
      <c r="I137" s="397"/>
      <c r="J137" s="397"/>
      <c r="K137" s="396"/>
      <c r="L137" s="396"/>
      <c r="M137" s="396"/>
      <c r="N137" s="396"/>
      <c r="O137" s="396"/>
      <c r="P137" s="396"/>
      <c r="Q137" s="396"/>
      <c r="R137" s="396"/>
      <c r="S137" s="396"/>
      <c r="T137" s="396"/>
      <c r="U137" s="396"/>
      <c r="V137" s="396"/>
      <c r="AE137" s="142"/>
      <c r="AF137" s="142"/>
      <c r="AG137" s="142"/>
      <c r="AH137" s="142"/>
      <c r="AI137" s="142"/>
      <c r="AJ137" s="142"/>
    </row>
    <row r="138" spans="1:36">
      <c r="AE138" s="142"/>
      <c r="AF138" s="142"/>
      <c r="AG138" s="142"/>
      <c r="AH138" s="142"/>
      <c r="AI138" s="142"/>
      <c r="AJ138" s="142"/>
    </row>
    <row r="139" spans="1:36">
      <c r="AE139" s="142"/>
      <c r="AF139" s="142"/>
      <c r="AG139" s="142"/>
      <c r="AH139" s="142"/>
      <c r="AI139" s="142"/>
      <c r="AJ139" s="142"/>
    </row>
    <row r="140" spans="1:36">
      <c r="AE140" s="142"/>
      <c r="AF140" s="142"/>
      <c r="AG140" s="142"/>
      <c r="AH140" s="142"/>
      <c r="AI140" s="142"/>
      <c r="AJ140" s="142"/>
    </row>
    <row r="141" spans="1:36">
      <c r="AE141" s="142"/>
      <c r="AF141" s="142"/>
      <c r="AG141" s="142"/>
      <c r="AH141" s="142"/>
      <c r="AI141" s="142"/>
      <c r="AJ141" s="142"/>
    </row>
    <row r="142" spans="1:36">
      <c r="AE142" s="142"/>
      <c r="AF142" s="142"/>
      <c r="AG142" s="142"/>
      <c r="AH142" s="142"/>
      <c r="AI142" s="142"/>
      <c r="AJ142" s="142"/>
    </row>
    <row r="143" spans="1:36">
      <c r="AE143" s="142"/>
      <c r="AF143" s="142"/>
      <c r="AG143" s="142"/>
      <c r="AH143" s="142"/>
      <c r="AI143" s="142"/>
      <c r="AJ143" s="142"/>
    </row>
    <row r="144" spans="1:36">
      <c r="AE144" s="142"/>
      <c r="AF144" s="142"/>
      <c r="AG144" s="142"/>
      <c r="AH144" s="142"/>
      <c r="AI144" s="142"/>
      <c r="AJ144" s="142"/>
    </row>
  </sheetData>
  <mergeCells count="7">
    <mergeCell ref="S2:V2"/>
    <mergeCell ref="O2:R2"/>
    <mergeCell ref="A2:A3"/>
    <mergeCell ref="B2:B3"/>
    <mergeCell ref="C2:F2"/>
    <mergeCell ref="G2:J2"/>
    <mergeCell ref="K2:N2"/>
  </mergeCells>
  <dataValidations count="1">
    <dataValidation type="decimal" allowBlank="1" showInputMessage="1" showErrorMessage="1" error="Palun sisestada number" sqref="D6:D7 H6:H7 L6:L7 P6:P7 F11 J11 N11:N16 R11:R16 E10 F15:F18 I10 J15:J16 M10 C19:V19 D20:F29 H20:J29 L20:N29 C20 G20 K20 O20:V20 P29:R29 D32:F36 H32:J36 L32:N36 R32:R33 P35:P36 P92:R97 D43:F51 H43:J51 H80:J87 D53:F66 H53:J66 L53:N66 P53:R66 D68:F75 H68:J76 L43:N51 P68:R76 D80:F87 P43:R51 L80:N87 P80:R87 D89:F90 H89:H90 L89:L90 P89:P90 D92:F97 H92:J97 L92:N97 T68:V76 D101 H107:J113 L107:N112 T92:V97 F121 F125:F126 J121 J125 N121 N125 R125 T6:T7 L68:N76 T29:V29 V32:V33 T35:T36 V11:V16 T80:V87 T53:V66 V111 T89:T90 V125 P107:P111 T107:T111 T43:V51">
      <formula1>-100000</formula1>
      <formula2>100000000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N134"/>
  <sheetViews>
    <sheetView showGridLines="0" zoomScale="90" zoomScaleNormal="90" workbookViewId="0">
      <pane xSplit="3" ySplit="3" topLeftCell="D4" activePane="bottomRight" state="frozen"/>
      <selection activeCell="AB8" sqref="AB8"/>
      <selection pane="topRight" activeCell="AB8" sqref="AB8"/>
      <selection pane="bottomLeft" activeCell="AB8" sqref="AB8"/>
      <selection pane="bottomRight" sqref="A1:XFD1"/>
    </sheetView>
  </sheetViews>
  <sheetFormatPr defaultColWidth="9.33203125" defaultRowHeight="13.2"/>
  <cols>
    <col min="1" max="1" width="8" style="1153" customWidth="1"/>
    <col min="2" max="2" width="63.6640625" style="1153" customWidth="1"/>
    <col min="3" max="3" width="7.6640625" style="1157" bestFit="1" customWidth="1"/>
    <col min="4" max="8" width="15.33203125" style="1153" customWidth="1"/>
    <col min="9" max="16" width="8.109375" style="1153" customWidth="1"/>
    <col min="17" max="17" width="9.33203125" style="1153"/>
    <col min="18" max="18" width="9.44140625" style="1153" bestFit="1" customWidth="1"/>
    <col min="19" max="16384" width="9.33203125" style="1153"/>
  </cols>
  <sheetData>
    <row r="1" spans="1:18" s="2038" customFormat="1" ht="16.2" thickBot="1">
      <c r="A1" s="2034"/>
      <c r="B1" s="2035"/>
      <c r="C1" s="2036"/>
      <c r="D1" s="2037"/>
      <c r="E1" s="2037"/>
      <c r="G1" s="2039"/>
      <c r="H1" s="2039"/>
    </row>
    <row r="2" spans="1:18" s="3" customFormat="1" ht="35.4" customHeight="1">
      <c r="A2" s="1689" t="s">
        <v>72</v>
      </c>
      <c r="B2" s="1671" t="s">
        <v>993</v>
      </c>
      <c r="C2" s="1673" t="s">
        <v>151</v>
      </c>
      <c r="D2" s="1691">
        <v>2021</v>
      </c>
      <c r="E2" s="1691">
        <v>2022</v>
      </c>
      <c r="F2" s="1691">
        <v>2023</v>
      </c>
      <c r="G2" s="1691" t="s">
        <v>1195</v>
      </c>
      <c r="H2" s="1695" t="s">
        <v>1194</v>
      </c>
      <c r="I2" s="290"/>
    </row>
    <row r="3" spans="1:18" s="1135" customFormat="1" ht="13.8" thickBot="1">
      <c r="A3" s="1690"/>
      <c r="B3" s="1672"/>
      <c r="C3" s="1674"/>
      <c r="D3" s="1692"/>
      <c r="E3" s="1692"/>
      <c r="F3" s="1692"/>
      <c r="G3" s="1692"/>
      <c r="H3" s="1696"/>
    </row>
    <row r="4" spans="1:18" s="1135" customFormat="1" ht="14.25" customHeight="1">
      <c r="A4" s="1172" t="s">
        <v>705</v>
      </c>
      <c r="B4" s="1681" t="s">
        <v>362</v>
      </c>
      <c r="C4" s="1682"/>
      <c r="D4" s="1682"/>
      <c r="E4" s="1682"/>
      <c r="F4" s="1682"/>
      <c r="G4" s="1682"/>
      <c r="H4" s="1683"/>
      <c r="I4" s="1136"/>
      <c r="J4" s="1137"/>
    </row>
    <row r="5" spans="1:18" s="1135" customFormat="1" ht="14.25" customHeight="1">
      <c r="A5" s="1123" t="s">
        <v>7</v>
      </c>
      <c r="B5" s="1127" t="s">
        <v>199</v>
      </c>
      <c r="C5" s="1125" t="s">
        <v>720</v>
      </c>
      <c r="D5" s="1126">
        <f>'6. Keskkonnatasud'!H289</f>
        <v>391773</v>
      </c>
      <c r="E5" s="1126">
        <f>'6. Keskkonnatasud'!H584</f>
        <v>459857</v>
      </c>
      <c r="F5" s="1126">
        <f>'6. Keskkonnatasud'!H883</f>
        <v>473602</v>
      </c>
      <c r="G5" s="1126">
        <f>'6. Keskkonnatasud'!H1185</f>
        <v>521792</v>
      </c>
      <c r="H5" s="1126">
        <f>'6. Keskkonnatasud'!H1487</f>
        <v>522488.7057677671</v>
      </c>
      <c r="I5" s="1694"/>
      <c r="J5" s="1694"/>
    </row>
    <row r="6" spans="1:18" s="1135" customFormat="1" ht="14.25" customHeight="1">
      <c r="A6" s="5" t="s">
        <v>13</v>
      </c>
      <c r="B6" s="321" t="s">
        <v>205</v>
      </c>
      <c r="C6" s="398" t="s">
        <v>323</v>
      </c>
      <c r="D6" s="399">
        <v>0</v>
      </c>
      <c r="E6" s="399">
        <v>0</v>
      </c>
      <c r="F6" s="399">
        <v>0</v>
      </c>
      <c r="G6" s="399">
        <v>0</v>
      </c>
      <c r="H6" s="399">
        <v>0</v>
      </c>
      <c r="I6" s="1136"/>
      <c r="J6" s="1137"/>
    </row>
    <row r="7" spans="1:18" s="1135" customFormat="1" ht="14.25" customHeight="1">
      <c r="A7" s="1123" t="s">
        <v>902</v>
      </c>
      <c r="B7" s="1127" t="s">
        <v>189</v>
      </c>
      <c r="C7" s="1125" t="s">
        <v>720</v>
      </c>
      <c r="D7" s="1126">
        <f>SUM('1. OST-MÜÜK'!D6:D10)</f>
        <v>19886</v>
      </c>
      <c r="E7" s="1126">
        <f>SUM('1. OST-MÜÜK'!I6:I10)</f>
        <v>76805</v>
      </c>
      <c r="F7" s="1126">
        <f>SUM('1. OST-MÜÜK'!N6:N10)</f>
        <v>69071</v>
      </c>
      <c r="G7" s="1126">
        <f>SUM('1. OST-MÜÜK'!S6:S10)</f>
        <v>19918</v>
      </c>
      <c r="H7" s="1126">
        <f>SUM('1. OST-MÜÜK'!X6:X10)</f>
        <v>19918</v>
      </c>
      <c r="I7" s="1137"/>
      <c r="J7" s="1137"/>
    </row>
    <row r="8" spans="1:18" s="1135" customFormat="1" ht="14.25" customHeight="1">
      <c r="A8" s="5" t="s">
        <v>903</v>
      </c>
      <c r="B8" s="321" t="s">
        <v>239</v>
      </c>
      <c r="C8" s="398" t="s">
        <v>323</v>
      </c>
      <c r="D8" s="399">
        <v>26000</v>
      </c>
      <c r="E8" s="399">
        <v>25000</v>
      </c>
      <c r="F8" s="399">
        <v>25000</v>
      </c>
      <c r="G8" s="399">
        <v>25000</v>
      </c>
      <c r="H8" s="399">
        <v>25000</v>
      </c>
      <c r="I8" s="1693"/>
      <c r="J8" s="1693"/>
    </row>
    <row r="9" spans="1:18" s="1135" customFormat="1" ht="14.25" customHeight="1">
      <c r="A9" s="5" t="s">
        <v>904</v>
      </c>
      <c r="B9" s="7" t="s">
        <v>241</v>
      </c>
      <c r="C9" s="398" t="s">
        <v>323</v>
      </c>
      <c r="D9" s="400">
        <f>SUM(D5:D7)-D8</f>
        <v>385659</v>
      </c>
      <c r="E9" s="400">
        <f t="shared" ref="E9:G9" si="0">SUM(E5:E7)-E8</f>
        <v>511662</v>
      </c>
      <c r="F9" s="400">
        <f t="shared" si="0"/>
        <v>517673</v>
      </c>
      <c r="G9" s="400">
        <f t="shared" si="0"/>
        <v>516710</v>
      </c>
      <c r="H9" s="400">
        <f t="shared" ref="H9" si="1">SUM(H5:H7)-H8</f>
        <v>517406.70576776704</v>
      </c>
      <c r="I9" s="1137"/>
      <c r="J9" s="1137"/>
    </row>
    <row r="10" spans="1:18" s="1135" customFormat="1" ht="14.25" customHeight="1">
      <c r="A10" s="5"/>
      <c r="B10" s="944" t="s">
        <v>576</v>
      </c>
      <c r="C10" s="398" t="s">
        <v>42</v>
      </c>
      <c r="D10" s="945" t="s">
        <v>349</v>
      </c>
      <c r="E10" s="946">
        <f>(E9-D9)/D9</f>
        <v>0.32672127449378857</v>
      </c>
      <c r="F10" s="946">
        <f t="shared" ref="F10" si="2">(F9-E9)/E9</f>
        <v>1.1747989883946824E-2</v>
      </c>
      <c r="G10" s="946">
        <f t="shared" ref="G10:H10" si="3">(G9-F9)/F9</f>
        <v>-1.8602476853148608E-3</v>
      </c>
      <c r="H10" s="946">
        <f t="shared" si="3"/>
        <v>1.3483496889300345E-3</v>
      </c>
      <c r="I10" s="1137"/>
      <c r="J10" s="1137"/>
    </row>
    <row r="11" spans="1:18" s="1135" customFormat="1" ht="14.25" customHeight="1">
      <c r="A11" s="1123" t="s">
        <v>905</v>
      </c>
      <c r="B11" s="1124" t="s">
        <v>68</v>
      </c>
      <c r="C11" s="1125" t="s">
        <v>720</v>
      </c>
      <c r="D11" s="1126">
        <f>'1. OST-MÜÜK'!D28</f>
        <v>349791.30000000005</v>
      </c>
      <c r="E11" s="1126">
        <f>'1. OST-MÜÜK'!I28</f>
        <v>414246</v>
      </c>
      <c r="F11" s="1126">
        <f>'1. OST-MÜÜK'!N28</f>
        <v>419919.83299999998</v>
      </c>
      <c r="G11" s="1126">
        <f>'1. OST-MÜÜK'!S28</f>
        <v>451050.13699999999</v>
      </c>
      <c r="H11" s="1126">
        <f>'1. OST-MÜÜK'!X28</f>
        <v>451652.38699999999</v>
      </c>
      <c r="I11" s="1138"/>
      <c r="J11" s="1137"/>
    </row>
    <row r="12" spans="1:18" s="1135" customFormat="1" ht="14.25" customHeight="1">
      <c r="A12" s="1164"/>
      <c r="B12" s="1165" t="s">
        <v>576</v>
      </c>
      <c r="C12" s="1166" t="s">
        <v>42</v>
      </c>
      <c r="D12" s="1167" t="s">
        <v>349</v>
      </c>
      <c r="E12" s="1168">
        <f>(E11-D11)/D11</f>
        <v>0.18426616099371237</v>
      </c>
      <c r="F12" s="1168">
        <f t="shared" ref="F12:H12" si="4">(F11-E11)/E11</f>
        <v>1.3696771966416053E-2</v>
      </c>
      <c r="G12" s="1168">
        <f t="shared" si="4"/>
        <v>7.413392165261222E-2</v>
      </c>
      <c r="H12" s="1168">
        <f t="shared" si="4"/>
        <v>1.3352174195215907E-3</v>
      </c>
      <c r="I12" s="1138"/>
      <c r="J12" s="1137"/>
    </row>
    <row r="13" spans="1:18" s="1135" customFormat="1" ht="14.25" customHeight="1">
      <c r="A13" s="5" t="s">
        <v>906</v>
      </c>
      <c r="B13" s="321" t="s">
        <v>1177</v>
      </c>
      <c r="C13" s="398" t="s">
        <v>323</v>
      </c>
      <c r="D13" s="399">
        <v>100</v>
      </c>
      <c r="E13" s="399">
        <v>100</v>
      </c>
      <c r="F13" s="399">
        <v>100</v>
      </c>
      <c r="G13" s="399">
        <v>100</v>
      </c>
      <c r="H13" s="399">
        <v>100</v>
      </c>
      <c r="I13" s="1138"/>
      <c r="J13" s="1137"/>
    </row>
    <row r="14" spans="1:18" s="1135" customFormat="1" ht="14.25" customHeight="1">
      <c r="A14" s="5" t="s">
        <v>907</v>
      </c>
      <c r="B14" s="321" t="s">
        <v>1178</v>
      </c>
      <c r="C14" s="398" t="s">
        <v>323</v>
      </c>
      <c r="D14" s="399">
        <v>0</v>
      </c>
      <c r="E14" s="399">
        <v>0</v>
      </c>
      <c r="F14" s="399">
        <v>0</v>
      </c>
      <c r="G14" s="399">
        <v>0</v>
      </c>
      <c r="H14" s="399">
        <v>0</v>
      </c>
      <c r="I14" s="1137"/>
      <c r="J14" s="1137"/>
      <c r="R14" s="1139"/>
    </row>
    <row r="15" spans="1:18" s="1135" customFormat="1" ht="14.25" customHeight="1">
      <c r="A15" s="5" t="s">
        <v>908</v>
      </c>
      <c r="B15" s="8" t="s">
        <v>191</v>
      </c>
      <c r="C15" s="398" t="s">
        <v>323</v>
      </c>
      <c r="D15" s="400">
        <f>D9-D11-D13-D14</f>
        <v>35767.699999999953</v>
      </c>
      <c r="E15" s="400">
        <f t="shared" ref="E15:G15" si="5">E9-E11-E13-E14</f>
        <v>97316</v>
      </c>
      <c r="F15" s="400">
        <f t="shared" si="5"/>
        <v>97653.167000000016</v>
      </c>
      <c r="G15" s="400">
        <f t="shared" si="5"/>
        <v>65559.863000000012</v>
      </c>
      <c r="H15" s="400">
        <f t="shared" ref="H15" si="6">H9-H11-H13-H14</f>
        <v>65654.31876776705</v>
      </c>
      <c r="I15" s="1697" t="s">
        <v>624</v>
      </c>
      <c r="J15" s="1698"/>
      <c r="K15" s="1698"/>
      <c r="L15" s="1698"/>
    </row>
    <row r="16" spans="1:18" s="1135" customFormat="1" ht="14.25" customHeight="1" thickBot="1">
      <c r="A16" s="1128" t="s">
        <v>909</v>
      </c>
      <c r="B16" s="1129" t="s">
        <v>191</v>
      </c>
      <c r="C16" s="1130" t="s">
        <v>42</v>
      </c>
      <c r="D16" s="1131">
        <f>IF(D9&gt;0,D15/D9,"-")</f>
        <v>9.2744367433406069E-2</v>
      </c>
      <c r="E16" s="1131">
        <f t="shared" ref="E16:G16" si="7">IF(E9&gt;0,E15/E9,"-")</f>
        <v>0.19019587149329048</v>
      </c>
      <c r="F16" s="1131">
        <f t="shared" si="7"/>
        <v>0.1886387101510027</v>
      </c>
      <c r="G16" s="1131">
        <f t="shared" si="7"/>
        <v>0.12687941591995514</v>
      </c>
      <c r="H16" s="1131">
        <f t="shared" ref="H16" si="8">IF(H9&gt;0,H15/H9,"-")</f>
        <v>0.12689112459480831</v>
      </c>
      <c r="I16" s="730">
        <v>2022</v>
      </c>
      <c r="J16" s="730">
        <v>2023</v>
      </c>
      <c r="K16" s="730">
        <v>2024</v>
      </c>
      <c r="L16" s="730">
        <v>2025</v>
      </c>
    </row>
    <row r="17" spans="1:18" s="1135" customFormat="1" ht="14.25" customHeight="1">
      <c r="A17" s="326" t="s">
        <v>19</v>
      </c>
      <c r="B17" s="327" t="s">
        <v>115</v>
      </c>
      <c r="C17" s="402" t="s">
        <v>40</v>
      </c>
      <c r="D17" s="403">
        <v>88.363</v>
      </c>
      <c r="E17" s="403">
        <v>94.294000000000011</v>
      </c>
      <c r="F17" s="403">
        <v>98.109700000000018</v>
      </c>
      <c r="G17" s="742">
        <f>F17+G19</f>
        <v>101.07300000000002</v>
      </c>
      <c r="H17" s="742">
        <f>G17+H19</f>
        <v>101.92300000000002</v>
      </c>
      <c r="I17" s="1401">
        <f t="shared" ref="I17" si="9">E17-D17</f>
        <v>5.9310000000000116</v>
      </c>
      <c r="J17" s="1140">
        <f t="shared" ref="J17" si="10">F17-E17</f>
        <v>3.8157000000000068</v>
      </c>
      <c r="K17" s="1140">
        <f t="shared" ref="K17:L17" si="11">G17-F17</f>
        <v>2.9633000000000038</v>
      </c>
      <c r="L17" s="1140">
        <f t="shared" si="11"/>
        <v>0.84999999999999432</v>
      </c>
      <c r="R17" s="1141"/>
    </row>
    <row r="18" spans="1:18" s="1135" customFormat="1" ht="14.25" customHeight="1" thickBot="1">
      <c r="A18" s="328" t="s">
        <v>24</v>
      </c>
      <c r="B18" s="331" t="s">
        <v>215</v>
      </c>
      <c r="C18" s="404" t="s">
        <v>40</v>
      </c>
      <c r="D18" s="405">
        <f>28.267+14.621</f>
        <v>42.887999999999998</v>
      </c>
      <c r="E18" s="743">
        <f>D18+(E17-D17)</f>
        <v>48.81900000000001</v>
      </c>
      <c r="F18" s="743">
        <f>E18+(F17-E17)</f>
        <v>52.634700000000016</v>
      </c>
      <c r="G18" s="743">
        <f>F18+G19+G29</f>
        <v>55.598000000000013</v>
      </c>
      <c r="H18" s="743">
        <f>G18+H19+H29</f>
        <v>56.448000000000015</v>
      </c>
      <c r="I18" s="1402">
        <f>E18-D18</f>
        <v>5.9310000000000116</v>
      </c>
      <c r="J18" s="1142">
        <f>F18-E18</f>
        <v>3.8157000000000068</v>
      </c>
      <c r="K18" s="1142">
        <f>G18-F18</f>
        <v>2.9632999999999967</v>
      </c>
      <c r="L18" s="1142">
        <f>H18-G18</f>
        <v>0.85000000000000142</v>
      </c>
      <c r="R18" s="1141"/>
    </row>
    <row r="19" spans="1:18" s="1135" customFormat="1" ht="14.25" customHeight="1" thickTop="1">
      <c r="A19" s="1175" t="s">
        <v>105</v>
      </c>
      <c r="B19" s="1176" t="s">
        <v>975</v>
      </c>
      <c r="C19" s="1177" t="s">
        <v>40</v>
      </c>
      <c r="D19" s="1178"/>
      <c r="E19" s="1178"/>
      <c r="F19" s="1178"/>
      <c r="G19" s="1178">
        <f>G20+G24</f>
        <v>2.9633000000000003</v>
      </c>
      <c r="H19" s="1178">
        <f>H20+H24</f>
        <v>0.85</v>
      </c>
      <c r="I19" s="1143"/>
      <c r="J19" s="1143"/>
      <c r="K19" s="1143"/>
      <c r="R19" s="1141"/>
    </row>
    <row r="20" spans="1:18" s="1135" customFormat="1" ht="14.25" customHeight="1">
      <c r="A20" s="1179" t="s">
        <v>106</v>
      </c>
      <c r="B20" s="1180" t="s">
        <v>976</v>
      </c>
      <c r="C20" s="1181" t="s">
        <v>40</v>
      </c>
      <c r="D20" s="1182"/>
      <c r="E20" s="1182"/>
      <c r="F20" s="1182"/>
      <c r="G20" s="1182">
        <f t="shared" ref="G20:H20" si="12">SUM(G21:G23)</f>
        <v>0</v>
      </c>
      <c r="H20" s="1182">
        <f t="shared" si="12"/>
        <v>0</v>
      </c>
      <c r="I20" s="1143"/>
      <c r="J20" s="1143"/>
      <c r="K20" s="1143"/>
      <c r="R20" s="1141"/>
    </row>
    <row r="21" spans="1:18" s="1135" customFormat="1" ht="14.25" customHeight="1">
      <c r="A21" s="732"/>
      <c r="B21" s="750"/>
      <c r="C21" s="733" t="s">
        <v>40</v>
      </c>
      <c r="D21" s="734"/>
      <c r="E21" s="734"/>
      <c r="F21" s="734"/>
      <c r="G21" s="735"/>
      <c r="H21" s="735"/>
      <c r="I21" s="1143"/>
      <c r="J21" s="1143"/>
      <c r="K21" s="1143"/>
      <c r="R21" s="1141"/>
    </row>
    <row r="22" spans="1:18" s="1135" customFormat="1" ht="14.25" customHeight="1">
      <c r="A22" s="732"/>
      <c r="B22" s="750"/>
      <c r="C22" s="733" t="s">
        <v>40</v>
      </c>
      <c r="D22" s="734"/>
      <c r="E22" s="734"/>
      <c r="F22" s="734"/>
      <c r="G22" s="749"/>
      <c r="H22" s="749"/>
      <c r="I22" s="1143"/>
      <c r="J22" s="1143"/>
      <c r="K22" s="1143"/>
      <c r="R22" s="1141"/>
    </row>
    <row r="23" spans="1:18" s="1135" customFormat="1" ht="14.25" customHeight="1">
      <c r="A23" s="732"/>
      <c r="B23" s="750"/>
      <c r="C23" s="733" t="s">
        <v>40</v>
      </c>
      <c r="D23" s="1183"/>
      <c r="E23" s="1183"/>
      <c r="F23" s="1183"/>
      <c r="G23" s="1184"/>
      <c r="H23" s="1184"/>
      <c r="I23" s="1143"/>
      <c r="J23" s="1143"/>
      <c r="K23" s="1143"/>
      <c r="R23" s="1141"/>
    </row>
    <row r="24" spans="1:18" s="1135" customFormat="1" ht="14.25" customHeight="1">
      <c r="A24" s="1179" t="s">
        <v>107</v>
      </c>
      <c r="B24" s="1180" t="s">
        <v>977</v>
      </c>
      <c r="C24" s="1181" t="s">
        <v>40</v>
      </c>
      <c r="D24" s="1182"/>
      <c r="E24" s="1182"/>
      <c r="F24" s="1182"/>
      <c r="G24" s="1182">
        <f>SUM(G25:G28)</f>
        <v>2.9633000000000003</v>
      </c>
      <c r="H24" s="1182">
        <f>SUM(H25:H28)</f>
        <v>0.85</v>
      </c>
      <c r="I24" s="1143"/>
      <c r="J24" s="1143"/>
      <c r="K24" s="1143"/>
      <c r="R24" s="1141"/>
    </row>
    <row r="25" spans="1:18" s="1135" customFormat="1" ht="14.25" customHeight="1">
      <c r="A25" s="732"/>
      <c r="B25" s="750" t="s">
        <v>973</v>
      </c>
      <c r="C25" s="733" t="s">
        <v>40</v>
      </c>
      <c r="D25" s="734"/>
      <c r="E25" s="734"/>
      <c r="F25" s="734"/>
      <c r="G25" s="735">
        <v>0.29949999999999999</v>
      </c>
      <c r="H25" s="735"/>
      <c r="I25" s="1143"/>
      <c r="J25" s="1143"/>
      <c r="K25" s="1143"/>
      <c r="R25" s="1141"/>
    </row>
    <row r="26" spans="1:18" s="1135" customFormat="1" ht="14.25" customHeight="1">
      <c r="A26" s="732"/>
      <c r="B26" s="750" t="s">
        <v>974</v>
      </c>
      <c r="C26" s="733" t="s">
        <v>40</v>
      </c>
      <c r="D26" s="734"/>
      <c r="E26" s="734"/>
      <c r="F26" s="734"/>
      <c r="G26" s="735">
        <v>1.6967000000000001</v>
      </c>
      <c r="H26" s="735"/>
      <c r="I26" s="1143"/>
      <c r="J26" s="1143"/>
      <c r="K26" s="1143"/>
      <c r="R26" s="1141"/>
    </row>
    <row r="27" spans="1:18" s="1135" customFormat="1" ht="14.25" customHeight="1">
      <c r="A27" s="738"/>
      <c r="B27" s="750" t="s">
        <v>972</v>
      </c>
      <c r="C27" s="733" t="s">
        <v>40</v>
      </c>
      <c r="D27" s="734"/>
      <c r="E27" s="734"/>
      <c r="F27" s="734"/>
      <c r="G27" s="735">
        <v>0.96710000000000007</v>
      </c>
      <c r="H27" s="735"/>
      <c r="R27" s="1141"/>
    </row>
    <row r="28" spans="1:18" s="1135" customFormat="1" ht="14.25" customHeight="1" thickBot="1">
      <c r="A28" s="744"/>
      <c r="B28" s="767" t="s">
        <v>1221</v>
      </c>
      <c r="C28" s="768" t="s">
        <v>40</v>
      </c>
      <c r="D28" s="769"/>
      <c r="E28" s="769"/>
      <c r="F28" s="769"/>
      <c r="G28" s="770"/>
      <c r="H28" s="770">
        <v>0.85</v>
      </c>
      <c r="R28" s="1141"/>
    </row>
    <row r="29" spans="1:18" s="1135" customFormat="1" ht="14.25" customHeight="1" thickTop="1">
      <c r="A29" s="725" t="s">
        <v>108</v>
      </c>
      <c r="B29" s="726" t="s">
        <v>978</v>
      </c>
      <c r="C29" s="727" t="s">
        <v>40</v>
      </c>
      <c r="D29" s="731"/>
      <c r="E29" s="731"/>
      <c r="F29" s="731"/>
      <c r="G29" s="731">
        <f>SUM(G30:G32)</f>
        <v>0</v>
      </c>
      <c r="H29" s="731">
        <f>SUM(H30:H32)</f>
        <v>0</v>
      </c>
      <c r="R29" s="1141"/>
    </row>
    <row r="30" spans="1:18" s="1135" customFormat="1" ht="14.25" customHeight="1">
      <c r="A30" s="732"/>
      <c r="B30" s="750"/>
      <c r="C30" s="733" t="s">
        <v>40</v>
      </c>
      <c r="D30" s="734"/>
      <c r="E30" s="734"/>
      <c r="F30" s="734"/>
      <c r="G30" s="735"/>
      <c r="H30" s="735"/>
      <c r="R30" s="1141"/>
    </row>
    <row r="31" spans="1:18" s="1135" customFormat="1" ht="14.25" customHeight="1">
      <c r="A31" s="738"/>
      <c r="B31" s="752"/>
      <c r="C31" s="733" t="s">
        <v>40</v>
      </c>
      <c r="D31" s="748"/>
      <c r="E31" s="748"/>
      <c r="F31" s="748"/>
      <c r="G31" s="739"/>
      <c r="H31" s="739"/>
      <c r="R31" s="1141"/>
    </row>
    <row r="32" spans="1:18" s="1135" customFormat="1" ht="14.25" customHeight="1" thickBot="1">
      <c r="A32" s="736"/>
      <c r="B32" s="753"/>
      <c r="C32" s="737" t="s">
        <v>40</v>
      </c>
      <c r="D32" s="741"/>
      <c r="E32" s="741"/>
      <c r="F32" s="741"/>
      <c r="G32" s="740"/>
      <c r="H32" s="740"/>
      <c r="I32" s="1697" t="s">
        <v>624</v>
      </c>
      <c r="J32" s="1698"/>
      <c r="K32" s="1698"/>
      <c r="L32" s="1698"/>
      <c r="R32" s="1141"/>
    </row>
    <row r="33" spans="1:18" s="1135" customFormat="1" ht="14.25" customHeight="1">
      <c r="A33" s="1133" t="s">
        <v>1181</v>
      </c>
      <c r="B33" s="1684" t="s">
        <v>1157</v>
      </c>
      <c r="C33" s="1685"/>
      <c r="D33" s="1685"/>
      <c r="E33" s="1685"/>
      <c r="F33" s="1685"/>
      <c r="G33" s="1685"/>
      <c r="H33" s="1686"/>
      <c r="I33" s="1134">
        <v>2022</v>
      </c>
      <c r="J33" s="1134">
        <v>2023</v>
      </c>
      <c r="K33" s="1134">
        <v>2024</v>
      </c>
      <c r="L33" s="1134">
        <v>2025</v>
      </c>
      <c r="R33" s="1141"/>
    </row>
    <row r="34" spans="1:18" s="1135" customFormat="1" ht="14.25" customHeight="1">
      <c r="A34" s="326" t="s">
        <v>31</v>
      </c>
      <c r="B34" s="327" t="s">
        <v>116</v>
      </c>
      <c r="C34" s="402" t="s">
        <v>40</v>
      </c>
      <c r="D34" s="403">
        <v>64.183999999999997</v>
      </c>
      <c r="E34" s="403">
        <v>65.084000000000003</v>
      </c>
      <c r="F34" s="403">
        <v>67.151999999999987</v>
      </c>
      <c r="G34" s="742">
        <f>F34+G36</f>
        <v>70.634399999999985</v>
      </c>
      <c r="H34" s="742">
        <f>G34+H36</f>
        <v>70.634399999999985</v>
      </c>
      <c r="I34" s="1401">
        <f t="shared" ref="I34" si="13">E34-D34</f>
        <v>0.90000000000000568</v>
      </c>
      <c r="J34" s="1140">
        <f t="shared" ref="J34" si="14">F34-E34</f>
        <v>2.0679999999999836</v>
      </c>
      <c r="K34" s="1140">
        <f t="shared" ref="K34:L34" si="15">G34-F34</f>
        <v>3.4823999999999984</v>
      </c>
      <c r="L34" s="1140">
        <f t="shared" si="15"/>
        <v>0</v>
      </c>
      <c r="R34" s="1141"/>
    </row>
    <row r="35" spans="1:18" s="1135" customFormat="1" ht="14.25" customHeight="1" thickBot="1">
      <c r="A35" s="328" t="s">
        <v>32</v>
      </c>
      <c r="B35" s="331" t="s">
        <v>215</v>
      </c>
      <c r="C35" s="404" t="s">
        <v>40</v>
      </c>
      <c r="D35" s="405">
        <f>34.44+12.214</f>
        <v>46.653999999999996</v>
      </c>
      <c r="E35" s="743">
        <f>D35+(E34-D34)</f>
        <v>47.554000000000002</v>
      </c>
      <c r="F35" s="743">
        <f>E35+(F34-E34)</f>
        <v>49.621999999999986</v>
      </c>
      <c r="G35" s="743">
        <f>F35+G36+G46</f>
        <v>53.104399999999984</v>
      </c>
      <c r="H35" s="743">
        <f>G35+H36+H46</f>
        <v>53.104399999999984</v>
      </c>
      <c r="I35" s="1402">
        <f>E35-D35</f>
        <v>0.90000000000000568</v>
      </c>
      <c r="J35" s="1142">
        <f>F35-E35</f>
        <v>2.0679999999999836</v>
      </c>
      <c r="K35" s="1142">
        <f>G35-F35</f>
        <v>3.4823999999999984</v>
      </c>
      <c r="L35" s="1142">
        <f>H35-G35</f>
        <v>0</v>
      </c>
      <c r="R35" s="1141"/>
    </row>
    <row r="36" spans="1:18" s="1135" customFormat="1" ht="14.25" customHeight="1" thickTop="1">
      <c r="A36" s="1175" t="s">
        <v>225</v>
      </c>
      <c r="B36" s="1176" t="s">
        <v>981</v>
      </c>
      <c r="C36" s="1177" t="s">
        <v>40</v>
      </c>
      <c r="D36" s="1178"/>
      <c r="E36" s="1178"/>
      <c r="F36" s="1178"/>
      <c r="G36" s="1178">
        <f t="shared" ref="G36:H36" si="16">G37+G41</f>
        <v>3.4824000000000002</v>
      </c>
      <c r="H36" s="1178">
        <f t="shared" si="16"/>
        <v>0</v>
      </c>
      <c r="I36" s="1143"/>
      <c r="J36" s="1143"/>
      <c r="K36" s="1143"/>
      <c r="R36" s="1141"/>
    </row>
    <row r="37" spans="1:18" s="1135" customFormat="1" ht="14.25" customHeight="1">
      <c r="A37" s="1179" t="s">
        <v>1179</v>
      </c>
      <c r="B37" s="1180" t="s">
        <v>976</v>
      </c>
      <c r="C37" s="1181" t="s">
        <v>40</v>
      </c>
      <c r="D37" s="1182"/>
      <c r="E37" s="1182"/>
      <c r="F37" s="1182"/>
      <c r="G37" s="1182">
        <f t="shared" ref="G37:H37" si="17">SUM(G38:G40)</f>
        <v>0</v>
      </c>
      <c r="H37" s="1182">
        <f t="shared" si="17"/>
        <v>0</v>
      </c>
      <c r="I37" s="1143"/>
      <c r="J37" s="1143"/>
      <c r="K37" s="1143"/>
      <c r="R37" s="1141"/>
    </row>
    <row r="38" spans="1:18" s="1135" customFormat="1" ht="14.25" customHeight="1">
      <c r="A38" s="732"/>
      <c r="B38" s="750"/>
      <c r="C38" s="733" t="s">
        <v>40</v>
      </c>
      <c r="D38" s="734"/>
      <c r="E38" s="734"/>
      <c r="F38" s="734"/>
      <c r="G38" s="735"/>
      <c r="H38" s="735"/>
      <c r="I38" s="1143"/>
      <c r="J38" s="1143"/>
      <c r="K38" s="1143"/>
      <c r="R38" s="1141"/>
    </row>
    <row r="39" spans="1:18" s="1135" customFormat="1" ht="14.25" customHeight="1">
      <c r="A39" s="732"/>
      <c r="B39" s="750"/>
      <c r="C39" s="733" t="s">
        <v>40</v>
      </c>
      <c r="D39" s="734"/>
      <c r="E39" s="734"/>
      <c r="F39" s="734"/>
      <c r="G39" s="735"/>
      <c r="H39" s="735"/>
      <c r="I39" s="1143"/>
      <c r="J39" s="1143"/>
      <c r="K39" s="1143"/>
      <c r="R39" s="1141"/>
    </row>
    <row r="40" spans="1:18" s="1135" customFormat="1" ht="14.25" customHeight="1">
      <c r="A40" s="732"/>
      <c r="B40" s="750"/>
      <c r="C40" s="733" t="s">
        <v>40</v>
      </c>
      <c r="D40" s="1183"/>
      <c r="E40" s="1183"/>
      <c r="F40" s="1183"/>
      <c r="G40" s="1184"/>
      <c r="H40" s="1184"/>
      <c r="I40" s="1143"/>
      <c r="J40" s="1143"/>
      <c r="K40" s="1143"/>
      <c r="R40" s="1141"/>
    </row>
    <row r="41" spans="1:18" s="1135" customFormat="1" ht="14.25" customHeight="1">
      <c r="A41" s="1179" t="s">
        <v>1180</v>
      </c>
      <c r="B41" s="1180" t="s">
        <v>977</v>
      </c>
      <c r="C41" s="1181" t="s">
        <v>40</v>
      </c>
      <c r="D41" s="1182"/>
      <c r="E41" s="1182"/>
      <c r="F41" s="1182"/>
      <c r="G41" s="1182">
        <f>SUM(G42:G45)</f>
        <v>3.4824000000000002</v>
      </c>
      <c r="H41" s="1182">
        <f>SUM(H42:H45)</f>
        <v>0</v>
      </c>
      <c r="I41" s="1143"/>
      <c r="J41" s="1143"/>
      <c r="K41" s="1143"/>
      <c r="R41" s="1141"/>
    </row>
    <row r="42" spans="1:18" s="1135" customFormat="1" ht="14.25" customHeight="1">
      <c r="A42" s="732"/>
      <c r="B42" s="750" t="s">
        <v>973</v>
      </c>
      <c r="C42" s="733" t="s">
        <v>40</v>
      </c>
      <c r="D42" s="734"/>
      <c r="E42" s="734"/>
      <c r="F42" s="734"/>
      <c r="G42" s="735">
        <v>0.3795</v>
      </c>
      <c r="H42" s="735"/>
      <c r="I42" s="1143"/>
      <c r="J42" s="1143"/>
      <c r="K42" s="1143"/>
      <c r="R42" s="1141"/>
    </row>
    <row r="43" spans="1:18" s="1135" customFormat="1" ht="14.25" customHeight="1">
      <c r="A43" s="732"/>
      <c r="B43" s="750" t="s">
        <v>974</v>
      </c>
      <c r="C43" s="733" t="s">
        <v>40</v>
      </c>
      <c r="D43" s="734"/>
      <c r="E43" s="734"/>
      <c r="F43" s="734"/>
      <c r="G43" s="735">
        <v>2.2254</v>
      </c>
      <c r="H43" s="735"/>
      <c r="I43" s="1143"/>
      <c r="J43" s="1143"/>
      <c r="K43" s="1143"/>
      <c r="R43" s="1141"/>
    </row>
    <row r="44" spans="1:18" s="1135" customFormat="1" ht="14.25" customHeight="1">
      <c r="A44" s="738"/>
      <c r="B44" s="752" t="s">
        <v>972</v>
      </c>
      <c r="C44" s="733" t="s">
        <v>40</v>
      </c>
      <c r="D44" s="748"/>
      <c r="E44" s="748"/>
      <c r="F44" s="748"/>
      <c r="G44" s="739">
        <v>0.87749999999999995</v>
      </c>
      <c r="H44" s="739"/>
      <c r="I44" s="1143"/>
      <c r="J44" s="1143"/>
      <c r="K44" s="1143"/>
      <c r="R44" s="1141"/>
    </row>
    <row r="45" spans="1:18" s="1135" customFormat="1" ht="14.25" customHeight="1" thickBot="1">
      <c r="A45" s="744"/>
      <c r="B45" s="751"/>
      <c r="C45" s="745" t="s">
        <v>40</v>
      </c>
      <c r="D45" s="746"/>
      <c r="E45" s="746"/>
      <c r="F45" s="746"/>
      <c r="G45" s="747"/>
      <c r="H45" s="747"/>
      <c r="I45" s="1143"/>
      <c r="J45" s="1143"/>
      <c r="K45" s="1143"/>
      <c r="R45" s="1141"/>
    </row>
    <row r="46" spans="1:18" s="1135" customFormat="1" ht="14.25" customHeight="1" thickTop="1">
      <c r="A46" s="725" t="s">
        <v>1037</v>
      </c>
      <c r="B46" s="726" t="s">
        <v>978</v>
      </c>
      <c r="C46" s="727" t="s">
        <v>40</v>
      </c>
      <c r="D46" s="731"/>
      <c r="E46" s="731"/>
      <c r="F46" s="731"/>
      <c r="G46" s="731">
        <f>SUM(G47:G49)</f>
        <v>0</v>
      </c>
      <c r="H46" s="731">
        <f>SUM(H47:H49)</f>
        <v>0</v>
      </c>
      <c r="I46" s="1143"/>
      <c r="J46" s="1143"/>
      <c r="K46" s="1143"/>
      <c r="R46" s="1141"/>
    </row>
    <row r="47" spans="1:18" s="1135" customFormat="1" ht="14.25" customHeight="1">
      <c r="A47" s="732"/>
      <c r="B47" s="750"/>
      <c r="C47" s="733" t="s">
        <v>40</v>
      </c>
      <c r="D47" s="734"/>
      <c r="E47" s="734"/>
      <c r="F47" s="734"/>
      <c r="G47" s="735"/>
      <c r="H47" s="735"/>
      <c r="I47" s="1143"/>
      <c r="J47" s="1143"/>
      <c r="K47" s="1143"/>
      <c r="R47" s="1141"/>
    </row>
    <row r="48" spans="1:18" s="1135" customFormat="1" ht="14.25" customHeight="1">
      <c r="A48" s="738"/>
      <c r="B48" s="752"/>
      <c r="C48" s="733" t="s">
        <v>40</v>
      </c>
      <c r="D48" s="748"/>
      <c r="E48" s="748"/>
      <c r="F48" s="748"/>
      <c r="G48" s="739"/>
      <c r="H48" s="739"/>
      <c r="I48" s="1143"/>
      <c r="J48" s="1143"/>
      <c r="K48" s="1143"/>
      <c r="R48" s="1141"/>
    </row>
    <row r="49" spans="1:18" s="1135" customFormat="1" ht="14.25" customHeight="1" thickBot="1">
      <c r="A49" s="736"/>
      <c r="B49" s="753"/>
      <c r="C49" s="737" t="s">
        <v>40</v>
      </c>
      <c r="D49" s="741"/>
      <c r="E49" s="741"/>
      <c r="F49" s="741"/>
      <c r="G49" s="740"/>
      <c r="H49" s="740"/>
      <c r="I49" s="1143"/>
      <c r="J49" s="1143"/>
      <c r="K49" s="1143"/>
      <c r="R49" s="1141"/>
    </row>
    <row r="50" spans="1:18" s="1135" customFormat="1" ht="28.5" customHeight="1">
      <c r="A50" s="335" t="s">
        <v>1162</v>
      </c>
      <c r="B50" s="760" t="s">
        <v>988</v>
      </c>
      <c r="C50" s="402" t="s">
        <v>720</v>
      </c>
      <c r="D50" s="407">
        <f t="shared" ref="D50:G50" si="18">SUM(D51:D60)</f>
        <v>562445</v>
      </c>
      <c r="E50" s="407">
        <f t="shared" si="18"/>
        <v>516336.6</v>
      </c>
      <c r="F50" s="407">
        <f t="shared" si="18"/>
        <v>573693</v>
      </c>
      <c r="G50" s="407">
        <f t="shared" si="18"/>
        <v>590528.10147851717</v>
      </c>
      <c r="H50" s="407">
        <f t="shared" ref="H50" si="19">SUM(H51:H60)</f>
        <v>591280.91397851717</v>
      </c>
      <c r="I50" s="1149"/>
      <c r="J50" s="1149"/>
      <c r="K50" s="1149"/>
      <c r="L50" s="1149"/>
      <c r="M50" s="1149"/>
    </row>
    <row r="51" spans="1:18" s="1135" customFormat="1" ht="14.25" customHeight="1">
      <c r="A51" s="5" t="s">
        <v>34</v>
      </c>
      <c r="B51" s="399" t="s">
        <v>446</v>
      </c>
      <c r="C51" s="398" t="s">
        <v>323</v>
      </c>
      <c r="D51" s="399">
        <v>23899</v>
      </c>
      <c r="E51" s="399">
        <v>22656</v>
      </c>
      <c r="F51" s="399">
        <v>21700</v>
      </c>
      <c r="G51" s="399">
        <v>28303.798271288008</v>
      </c>
      <c r="H51" s="399">
        <f>H63/(1-0.2)</f>
        <v>28303.798271288008</v>
      </c>
    </row>
    <row r="52" spans="1:18" s="1135" customFormat="1" ht="14.25" customHeight="1">
      <c r="A52" s="5" t="s">
        <v>35</v>
      </c>
      <c r="B52" s="399" t="s">
        <v>447</v>
      </c>
      <c r="C52" s="398" t="s">
        <v>323</v>
      </c>
      <c r="D52" s="399">
        <v>532</v>
      </c>
      <c r="E52" s="399">
        <v>0</v>
      </c>
      <c r="F52" s="399">
        <v>0</v>
      </c>
      <c r="G52" s="399">
        <v>0</v>
      </c>
      <c r="H52" s="399">
        <f t="shared" ref="H52:H58" si="20">H64/(1-0.2)</f>
        <v>0</v>
      </c>
      <c r="R52" s="1150"/>
    </row>
    <row r="53" spans="1:18" s="1135" customFormat="1" ht="14.25" customHeight="1">
      <c r="A53" s="5" t="s">
        <v>109</v>
      </c>
      <c r="B53" s="399" t="s">
        <v>448</v>
      </c>
      <c r="C53" s="398" t="s">
        <v>323</v>
      </c>
      <c r="D53" s="399">
        <v>350</v>
      </c>
      <c r="E53" s="399">
        <v>295</v>
      </c>
      <c r="F53" s="399">
        <v>274</v>
      </c>
      <c r="G53" s="399">
        <v>305.5325080883789</v>
      </c>
      <c r="H53" s="399">
        <f t="shared" si="20"/>
        <v>305.5325080883789</v>
      </c>
    </row>
    <row r="54" spans="1:18" s="1135" customFormat="1" ht="14.25" customHeight="1">
      <c r="A54" s="5" t="s">
        <v>261</v>
      </c>
      <c r="B54" s="399" t="s">
        <v>449</v>
      </c>
      <c r="C54" s="398" t="s">
        <v>323</v>
      </c>
      <c r="D54" s="399">
        <v>2921</v>
      </c>
      <c r="E54" s="399">
        <v>2171</v>
      </c>
      <c r="F54" s="399">
        <v>1771</v>
      </c>
      <c r="G54" s="399">
        <v>210.20636556480468</v>
      </c>
      <c r="H54" s="399">
        <f t="shared" si="20"/>
        <v>210.20636556480468</v>
      </c>
    </row>
    <row r="55" spans="1:18" s="1135" customFormat="1" ht="14.25" customHeight="1">
      <c r="A55" s="5" t="s">
        <v>979</v>
      </c>
      <c r="B55" s="399" t="s">
        <v>983</v>
      </c>
      <c r="C55" s="398" t="s">
        <v>323</v>
      </c>
      <c r="D55" s="399">
        <v>10569</v>
      </c>
      <c r="E55" s="399">
        <v>11408</v>
      </c>
      <c r="F55" s="399">
        <v>10400</v>
      </c>
      <c r="G55" s="399">
        <v>23581.243400267547</v>
      </c>
      <c r="H55" s="399">
        <f t="shared" si="20"/>
        <v>23581.243400267547</v>
      </c>
    </row>
    <row r="56" spans="1:18" s="1135" customFormat="1" ht="14.25" customHeight="1">
      <c r="A56" s="5" t="s">
        <v>980</v>
      </c>
      <c r="B56" s="399" t="s">
        <v>984</v>
      </c>
      <c r="C56" s="398" t="s">
        <v>323</v>
      </c>
      <c r="D56" s="399">
        <v>4253</v>
      </c>
      <c r="E56" s="399">
        <v>4297</v>
      </c>
      <c r="F56" s="399">
        <v>3841</v>
      </c>
      <c r="G56" s="399">
        <v>6582.0257152463273</v>
      </c>
      <c r="H56" s="399">
        <f t="shared" si="20"/>
        <v>6582.0257152463273</v>
      </c>
    </row>
    <row r="57" spans="1:18" s="1135" customFormat="1" ht="14.25" customHeight="1">
      <c r="A57" s="5" t="s">
        <v>1172</v>
      </c>
      <c r="B57" s="399" t="s">
        <v>985</v>
      </c>
      <c r="C57" s="398" t="s">
        <v>323</v>
      </c>
      <c r="D57" s="399">
        <v>2955</v>
      </c>
      <c r="E57" s="399">
        <v>3018</v>
      </c>
      <c r="F57" s="399">
        <v>2876</v>
      </c>
      <c r="G57" s="399">
        <v>3660.8905119149567</v>
      </c>
      <c r="H57" s="399">
        <f t="shared" si="20"/>
        <v>3660.8905119149567</v>
      </c>
    </row>
    <row r="58" spans="1:18" s="1135" customFormat="1" ht="14.25" customHeight="1">
      <c r="A58" s="5" t="s">
        <v>1173</v>
      </c>
      <c r="B58" s="399" t="s">
        <v>986</v>
      </c>
      <c r="C58" s="398" t="s">
        <v>323</v>
      </c>
      <c r="D58" s="399">
        <v>0</v>
      </c>
      <c r="E58" s="399">
        <v>0</v>
      </c>
      <c r="F58" s="399">
        <v>0</v>
      </c>
      <c r="G58" s="399">
        <v>232.20470614716794</v>
      </c>
      <c r="H58" s="399">
        <f t="shared" si="20"/>
        <v>985.01720614716783</v>
      </c>
    </row>
    <row r="59" spans="1:18" s="1135" customFormat="1" ht="14.25" customHeight="1">
      <c r="A59" s="5" t="s">
        <v>1174</v>
      </c>
      <c r="B59" s="399" t="s">
        <v>699</v>
      </c>
      <c r="C59" s="398" t="s">
        <v>323</v>
      </c>
      <c r="D59" s="400">
        <f>SUM('1. OST-MÜÜK'!D11:D13)</f>
        <v>516966</v>
      </c>
      <c r="E59" s="400">
        <f>SUM('1. OST-MÜÜK'!I11:I13)</f>
        <v>461531</v>
      </c>
      <c r="F59" s="400">
        <f>SUM('1. OST-MÜÜK'!N11:N13)</f>
        <v>509741</v>
      </c>
      <c r="G59" s="400">
        <f>SUM('1. OST-MÜÜK'!S11:S13)</f>
        <v>502269</v>
      </c>
      <c r="H59" s="400">
        <f>SUM('1. OST-MÜÜK'!X11:X13)</f>
        <v>502269</v>
      </c>
      <c r="I59" s="1699" t="s">
        <v>1222</v>
      </c>
      <c r="J59" s="1700"/>
      <c r="K59" s="1700"/>
      <c r="L59" s="1700"/>
      <c r="M59" s="1700"/>
    </row>
    <row r="60" spans="1:18" s="1135" customFormat="1" ht="14.25" customHeight="1" thickBot="1">
      <c r="A60" s="728" t="s">
        <v>1175</v>
      </c>
      <c r="B60" s="756" t="s">
        <v>700</v>
      </c>
      <c r="C60" s="755" t="s">
        <v>323</v>
      </c>
      <c r="D60" s="790">
        <f>SUM('1. OST-MÜÜK'!D14:D15)</f>
        <v>0</v>
      </c>
      <c r="E60" s="790">
        <f>SUM('1. OST-MÜÜK'!I14:I15)</f>
        <v>10960.6</v>
      </c>
      <c r="F60" s="790">
        <f>SUM('1. OST-MÜÜK'!N14:N15)</f>
        <v>23090</v>
      </c>
      <c r="G60" s="790">
        <f>SUM('1. OST-MÜÜK'!S14:S15)</f>
        <v>25383.200000000001</v>
      </c>
      <c r="H60" s="790">
        <f>SUM('1. OST-MÜÜK'!X14:X15)</f>
        <v>25383.200000000001</v>
      </c>
      <c r="I60" s="843">
        <v>2021</v>
      </c>
      <c r="J60" s="843">
        <v>2022</v>
      </c>
      <c r="K60" s="843">
        <v>2023</v>
      </c>
      <c r="L60" s="843">
        <v>2024</v>
      </c>
      <c r="M60" s="843">
        <v>2025</v>
      </c>
    </row>
    <row r="61" spans="1:18" s="1135" customFormat="1" ht="28.5" customHeight="1">
      <c r="A61" s="1133" t="s">
        <v>1163</v>
      </c>
      <c r="B61" s="1158" t="s">
        <v>989</v>
      </c>
      <c r="C61" s="1132" t="s">
        <v>720</v>
      </c>
      <c r="D61" s="1159">
        <f>SUM(D63:D72)</f>
        <v>338629.31</v>
      </c>
      <c r="E61" s="1159">
        <f>SUM(E63:E72)</f>
        <v>310242.277</v>
      </c>
      <c r="F61" s="1159">
        <f>SUM(F63:F72)</f>
        <v>320162.41599999997</v>
      </c>
      <c r="G61" s="1159">
        <f>SUM(G63:G72)</f>
        <v>343140.54927962355</v>
      </c>
      <c r="H61" s="1159">
        <f>SUM(H63:H72)</f>
        <v>343742.79927962355</v>
      </c>
      <c r="I61" s="1403">
        <f>'1. OST-MÜÜK'!D36</f>
        <v>338629.58828999999</v>
      </c>
      <c r="J61" s="842">
        <f>'1. OST-MÜÜK'!I36</f>
        <v>310242</v>
      </c>
      <c r="K61" s="842">
        <f>'1. OST-MÜÜK'!N36</f>
        <v>320162.33600000001</v>
      </c>
      <c r="L61" s="842">
        <f>'1. OST-MÜÜK'!S36</f>
        <v>343141</v>
      </c>
      <c r="M61" s="842">
        <f>'1. OST-MÜÜK'!X36</f>
        <v>343743.25</v>
      </c>
      <c r="R61" s="1141"/>
    </row>
    <row r="62" spans="1:18" s="1135" customFormat="1">
      <c r="A62" s="1133"/>
      <c r="B62" s="1160" t="s">
        <v>576</v>
      </c>
      <c r="C62" s="1161" t="s">
        <v>42</v>
      </c>
      <c r="D62" s="1162" t="s">
        <v>349</v>
      </c>
      <c r="E62" s="1163">
        <f>(E61-D61)/D61</f>
        <v>-8.3829226123397285E-2</v>
      </c>
      <c r="F62" s="1163">
        <f t="shared" ref="F62" si="21">(F61-E61)/E61</f>
        <v>3.1975458328653145E-2</v>
      </c>
      <c r="G62" s="1163">
        <f t="shared" ref="G62:H62" si="22">(G61-F61)/F61</f>
        <v>7.1770239513758494E-2</v>
      </c>
      <c r="H62" s="1163">
        <f t="shared" si="22"/>
        <v>1.755111721026096E-3</v>
      </c>
      <c r="I62" s="1151">
        <f>I61-D61</f>
        <v>0.2782899999874644</v>
      </c>
      <c r="J62" s="1151">
        <f>J61-E61</f>
        <v>-0.27700000000186265</v>
      </c>
      <c r="K62" s="1151">
        <f>K61-F61</f>
        <v>-7.9999999958090484E-2</v>
      </c>
      <c r="L62" s="1151">
        <f>L61-G61</f>
        <v>0.45072037645149976</v>
      </c>
      <c r="M62" s="1151">
        <f>M61-H61</f>
        <v>0.45072037645149976</v>
      </c>
      <c r="N62" s="1152" t="s">
        <v>987</v>
      </c>
      <c r="R62" s="1141"/>
    </row>
    <row r="63" spans="1:18" s="1135" customFormat="1" ht="14.25" customHeight="1">
      <c r="A63" s="5" t="s">
        <v>712</v>
      </c>
      <c r="B63" s="399" t="s">
        <v>446</v>
      </c>
      <c r="C63" s="398" t="s">
        <v>323</v>
      </c>
      <c r="D63" s="399">
        <v>22787.269</v>
      </c>
      <c r="E63" s="399">
        <v>22041.285</v>
      </c>
      <c r="F63" s="399">
        <v>22701.271999999994</v>
      </c>
      <c r="G63" s="399">
        <v>22643.038617030408</v>
      </c>
      <c r="H63" s="399">
        <v>22643.038617030408</v>
      </c>
      <c r="R63" s="1141"/>
    </row>
    <row r="64" spans="1:18" s="1135" customFormat="1" ht="14.25" customHeight="1">
      <c r="A64" s="5" t="s">
        <v>713</v>
      </c>
      <c r="B64" s="399" t="s">
        <v>447</v>
      </c>
      <c r="C64" s="398" t="s">
        <v>323</v>
      </c>
      <c r="D64" s="399">
        <v>545</v>
      </c>
      <c r="E64" s="399">
        <v>0</v>
      </c>
      <c r="F64" s="399">
        <v>0</v>
      </c>
      <c r="G64" s="399">
        <v>0</v>
      </c>
      <c r="H64" s="399">
        <v>0</v>
      </c>
      <c r="R64" s="1141"/>
    </row>
    <row r="65" spans="1:18" s="1135" customFormat="1" ht="14.25" customHeight="1">
      <c r="A65" s="5" t="s">
        <v>714</v>
      </c>
      <c r="B65" s="399" t="s">
        <v>448</v>
      </c>
      <c r="C65" s="398" t="s">
        <v>323</v>
      </c>
      <c r="D65" s="399">
        <v>350</v>
      </c>
      <c r="E65" s="399">
        <v>300</v>
      </c>
      <c r="F65" s="399">
        <v>250</v>
      </c>
      <c r="G65" s="399">
        <v>244.42600647070313</v>
      </c>
      <c r="H65" s="399">
        <v>244.42600647070313</v>
      </c>
      <c r="R65" s="1141"/>
    </row>
    <row r="66" spans="1:18" s="1135" customFormat="1" ht="14.25" customHeight="1">
      <c r="A66" s="5" t="s">
        <v>715</v>
      </c>
      <c r="B66" s="399" t="s">
        <v>449</v>
      </c>
      <c r="C66" s="398" t="s">
        <v>323</v>
      </c>
      <c r="D66" s="399">
        <v>188</v>
      </c>
      <c r="E66" s="399">
        <v>198</v>
      </c>
      <c r="F66" s="399">
        <v>172</v>
      </c>
      <c r="G66" s="399">
        <v>168.16509245184375</v>
      </c>
      <c r="H66" s="399">
        <v>168.16509245184375</v>
      </c>
    </row>
    <row r="67" spans="1:18" s="1135" customFormat="1" ht="14.25" customHeight="1">
      <c r="A67" s="5" t="s">
        <v>716</v>
      </c>
      <c r="B67" s="399" t="s">
        <v>983</v>
      </c>
      <c r="C67" s="398" t="s">
        <v>323</v>
      </c>
      <c r="D67" s="399">
        <v>11223.547999999995</v>
      </c>
      <c r="E67" s="399">
        <v>11842.006999999998</v>
      </c>
      <c r="F67" s="399">
        <v>11768.898000000001</v>
      </c>
      <c r="G67" s="399">
        <v>18864.994720214039</v>
      </c>
      <c r="H67" s="399">
        <v>18864.994720214039</v>
      </c>
      <c r="R67" s="1150"/>
    </row>
    <row r="68" spans="1:18" s="1135" customFormat="1" ht="14.25" customHeight="1">
      <c r="A68" s="5" t="s">
        <v>1164</v>
      </c>
      <c r="B68" s="399" t="s">
        <v>984</v>
      </c>
      <c r="C68" s="398" t="s">
        <v>323</v>
      </c>
      <c r="D68" s="399">
        <v>4327.8899999999985</v>
      </c>
      <c r="E68" s="399">
        <v>4350.2090000000007</v>
      </c>
      <c r="F68" s="399">
        <v>4360.3170000000009</v>
      </c>
      <c r="G68" s="399">
        <v>5265.6205721970618</v>
      </c>
      <c r="H68" s="399">
        <v>5265.6205721970618</v>
      </c>
    </row>
    <row r="69" spans="1:18" s="1135" customFormat="1" ht="14.25" customHeight="1">
      <c r="A69" s="5" t="s">
        <v>1165</v>
      </c>
      <c r="B69" s="399" t="s">
        <v>985</v>
      </c>
      <c r="C69" s="398" t="s">
        <v>323</v>
      </c>
      <c r="D69" s="399">
        <v>2950.6029999999996</v>
      </c>
      <c r="E69" s="399">
        <v>3016.7759999999998</v>
      </c>
      <c r="F69" s="399">
        <v>2921.9290000000001</v>
      </c>
      <c r="G69" s="399">
        <v>2928.7124095319655</v>
      </c>
      <c r="H69" s="399">
        <v>2928.7124095319655</v>
      </c>
    </row>
    <row r="70" spans="1:18" s="1135" customFormat="1" ht="14.25" customHeight="1">
      <c r="A70" s="5" t="s">
        <v>1166</v>
      </c>
      <c r="B70" s="399" t="s">
        <v>986</v>
      </c>
      <c r="C70" s="398" t="s">
        <v>323</v>
      </c>
      <c r="D70" s="399">
        <v>0</v>
      </c>
      <c r="E70" s="399">
        <v>0</v>
      </c>
      <c r="F70" s="399">
        <v>0</v>
      </c>
      <c r="G70" s="399">
        <v>185.76376491773436</v>
      </c>
      <c r="H70" s="399">
        <f>G70+5*3*(110/1000*365)</f>
        <v>788.01376491773431</v>
      </c>
    </row>
    <row r="71" spans="1:18" s="1135" customFormat="1" ht="14.25" customHeight="1">
      <c r="A71" s="5" t="s">
        <v>1167</v>
      </c>
      <c r="B71" s="399" t="s">
        <v>699</v>
      </c>
      <c r="C71" s="398" t="s">
        <v>323</v>
      </c>
      <c r="D71" s="399">
        <v>296257</v>
      </c>
      <c r="E71" s="399">
        <v>262564</v>
      </c>
      <c r="F71" s="399">
        <v>266111</v>
      </c>
      <c r="G71" s="399">
        <v>278968.75</v>
      </c>
      <c r="H71" s="399">
        <v>278968.75</v>
      </c>
    </row>
    <row r="72" spans="1:18" s="1135" customFormat="1" ht="14.25" customHeight="1" thickBot="1">
      <c r="A72" s="728" t="s">
        <v>1168</v>
      </c>
      <c r="B72" s="756" t="s">
        <v>700</v>
      </c>
      <c r="C72" s="755" t="s">
        <v>323</v>
      </c>
      <c r="D72" s="756">
        <v>0</v>
      </c>
      <c r="E72" s="756">
        <v>5930</v>
      </c>
      <c r="F72" s="756">
        <v>11877</v>
      </c>
      <c r="G72" s="756">
        <v>13871.078096809815</v>
      </c>
      <c r="H72" s="756">
        <v>13871.078096809815</v>
      </c>
    </row>
    <row r="73" spans="1:18" s="1135" customFormat="1" ht="14.25" customHeight="1">
      <c r="A73" s="1174" t="s">
        <v>717</v>
      </c>
      <c r="B73" s="1684" t="s">
        <v>1176</v>
      </c>
      <c r="C73" s="1685"/>
      <c r="D73" s="1685"/>
      <c r="E73" s="1685"/>
      <c r="F73" s="1685"/>
      <c r="G73" s="1685"/>
      <c r="H73" s="1686"/>
    </row>
    <row r="74" spans="1:18" s="1135" customFormat="1" ht="14.25" customHeight="1">
      <c r="A74" s="953" t="s">
        <v>50</v>
      </c>
      <c r="B74" s="1173" t="s">
        <v>1294</v>
      </c>
      <c r="C74" s="954" t="s">
        <v>720</v>
      </c>
      <c r="D74" s="1590">
        <f>D75+D76</f>
        <v>0</v>
      </c>
      <c r="E74" s="1590">
        <f>E75+E76</f>
        <v>0</v>
      </c>
      <c r="F74" s="1590">
        <f>F75+F76</f>
        <v>4030</v>
      </c>
      <c r="G74" s="1590">
        <f>G75+G76</f>
        <v>4900</v>
      </c>
      <c r="H74" s="1590">
        <f>H75+H76</f>
        <v>4900</v>
      </c>
      <c r="J74" s="1307"/>
      <c r="K74" s="960"/>
      <c r="L74" s="960"/>
    </row>
    <row r="75" spans="1:18" s="1135" customFormat="1" ht="14.25" customHeight="1">
      <c r="A75" s="1589" t="s">
        <v>163</v>
      </c>
      <c r="B75" s="1581" t="s">
        <v>1293</v>
      </c>
      <c r="C75" s="1582" t="s">
        <v>1288</v>
      </c>
      <c r="D75" s="1583">
        <v>0</v>
      </c>
      <c r="E75" s="1583">
        <v>0</v>
      </c>
      <c r="F75" s="1583">
        <v>3670</v>
      </c>
      <c r="G75" s="1583">
        <v>4400</v>
      </c>
      <c r="H75" s="1583">
        <v>4400</v>
      </c>
      <c r="I75" s="1307"/>
      <c r="J75" s="1307"/>
      <c r="K75" s="1307"/>
      <c r="L75" s="1307"/>
    </row>
    <row r="76" spans="1:18" s="1135" customFormat="1" ht="14.25" customHeight="1">
      <c r="A76" s="5" t="s">
        <v>718</v>
      </c>
      <c r="B76" s="1581" t="s">
        <v>1292</v>
      </c>
      <c r="C76" s="1582" t="s">
        <v>1288</v>
      </c>
      <c r="D76" s="1583">
        <v>0</v>
      </c>
      <c r="E76" s="1583">
        <v>0</v>
      </c>
      <c r="F76" s="1583">
        <v>360</v>
      </c>
      <c r="G76" s="1583">
        <v>500</v>
      </c>
      <c r="H76" s="1583">
        <v>500</v>
      </c>
      <c r="I76" s="1307"/>
      <c r="J76" s="1307"/>
      <c r="K76" s="1307"/>
      <c r="L76" s="1307"/>
    </row>
    <row r="77" spans="1:18" s="1135" customFormat="1" ht="14.25" customHeight="1">
      <c r="A77" s="5" t="s">
        <v>1297</v>
      </c>
      <c r="B77" s="1584" t="s">
        <v>1289</v>
      </c>
      <c r="C77" s="1585" t="s">
        <v>1171</v>
      </c>
      <c r="D77" s="1586">
        <v>1.6</v>
      </c>
      <c r="E77" s="1586">
        <v>1.6</v>
      </c>
      <c r="F77" s="1586">
        <v>1.6</v>
      </c>
      <c r="G77" s="1586">
        <v>1.6</v>
      </c>
      <c r="H77" s="1586">
        <v>1.6</v>
      </c>
      <c r="I77" s="1307"/>
      <c r="J77" s="1307"/>
      <c r="K77" s="1307"/>
      <c r="L77" s="1307"/>
    </row>
    <row r="78" spans="1:18" s="1135" customFormat="1" ht="14.25" customHeight="1">
      <c r="A78" s="5" t="s">
        <v>1298</v>
      </c>
      <c r="B78" s="1587" t="s">
        <v>1290</v>
      </c>
      <c r="C78" s="1585" t="s">
        <v>1291</v>
      </c>
      <c r="D78" s="1588">
        <f>D76*D77</f>
        <v>0</v>
      </c>
      <c r="E78" s="1588">
        <f t="shared" ref="E78:H78" si="23">E76*E77</f>
        <v>0</v>
      </c>
      <c r="F78" s="1588">
        <f t="shared" si="23"/>
        <v>576</v>
      </c>
      <c r="G78" s="1588">
        <f t="shared" si="23"/>
        <v>800</v>
      </c>
      <c r="H78" s="1588">
        <f t="shared" si="23"/>
        <v>800</v>
      </c>
      <c r="I78" s="1307"/>
      <c r="J78" s="1307"/>
      <c r="K78" s="1307"/>
      <c r="L78" s="1307"/>
    </row>
    <row r="79" spans="1:18" s="1135" customFormat="1" ht="14.25" customHeight="1">
      <c r="A79" s="1701" t="s">
        <v>1299</v>
      </c>
      <c r="B79" s="1703" t="s">
        <v>1315</v>
      </c>
      <c r="C79" s="1705" t="s">
        <v>42</v>
      </c>
      <c r="D79" s="1666">
        <f>IF(D67&gt;0,ROUND(D76/D67,3),0)</f>
        <v>0</v>
      </c>
      <c r="E79" s="1666">
        <f t="shared" ref="E79:H79" si="24">IF(E67&gt;0,ROUND(E76/E67,3),0)</f>
        <v>0</v>
      </c>
      <c r="F79" s="1666">
        <f t="shared" si="24"/>
        <v>3.1E-2</v>
      </c>
      <c r="G79" s="1666">
        <f t="shared" si="24"/>
        <v>2.7E-2</v>
      </c>
      <c r="H79" s="1666">
        <f t="shared" si="24"/>
        <v>2.7E-2</v>
      </c>
      <c r="I79" s="1307"/>
      <c r="J79" s="1307"/>
      <c r="K79" s="1307"/>
      <c r="L79" s="1307"/>
    </row>
    <row r="80" spans="1:18" s="1135" customFormat="1" ht="14.25" customHeight="1">
      <c r="A80" s="1702"/>
      <c r="B80" s="1704"/>
      <c r="C80" s="1706"/>
      <c r="D80" s="1667"/>
      <c r="E80" s="1667"/>
      <c r="F80" s="1667"/>
      <c r="G80" s="1667"/>
      <c r="H80" s="1667"/>
      <c r="I80" s="1307"/>
      <c r="J80" s="1307"/>
      <c r="K80" s="1307"/>
      <c r="L80" s="1307"/>
    </row>
    <row r="81" spans="1:18" s="1135" customFormat="1" ht="14.25" customHeight="1">
      <c r="A81" s="1687" t="s">
        <v>1314</v>
      </c>
      <c r="B81" s="1677" t="s">
        <v>1316</v>
      </c>
      <c r="C81" s="1679" t="s">
        <v>42</v>
      </c>
      <c r="D81" s="1675">
        <f>IF(D67&gt;0,ROUND(D78/D67,3),0)</f>
        <v>0</v>
      </c>
      <c r="E81" s="1675">
        <f t="shared" ref="E81:H81" si="25">IF(E67&gt;0,ROUND(E78/E67,3),0)</f>
        <v>0</v>
      </c>
      <c r="F81" s="1675">
        <f t="shared" si="25"/>
        <v>4.9000000000000002E-2</v>
      </c>
      <c r="G81" s="1675">
        <f t="shared" si="25"/>
        <v>4.2000000000000003E-2</v>
      </c>
      <c r="H81" s="1675">
        <f t="shared" si="25"/>
        <v>4.2000000000000003E-2</v>
      </c>
      <c r="I81" s="1307"/>
      <c r="J81" s="1307"/>
      <c r="K81" s="1307"/>
      <c r="L81" s="1307"/>
    </row>
    <row r="82" spans="1:18" s="1135" customFormat="1" ht="13.8" thickBot="1">
      <c r="A82" s="1688"/>
      <c r="B82" s="1678"/>
      <c r="C82" s="1680"/>
      <c r="D82" s="1676"/>
      <c r="E82" s="1676"/>
      <c r="F82" s="1676"/>
      <c r="G82" s="1676"/>
      <c r="H82" s="1676"/>
      <c r="I82" s="1697" t="s">
        <v>624</v>
      </c>
      <c r="J82" s="1698"/>
      <c r="K82" s="1698"/>
      <c r="L82" s="1698"/>
    </row>
    <row r="83" spans="1:18" s="1135" customFormat="1" ht="14.25" customHeight="1">
      <c r="A83" s="1169" t="s">
        <v>1182</v>
      </c>
      <c r="B83" s="1668" t="s">
        <v>1161</v>
      </c>
      <c r="C83" s="1669"/>
      <c r="D83" s="1669"/>
      <c r="E83" s="1669"/>
      <c r="F83" s="1669"/>
      <c r="G83" s="1670"/>
      <c r="H83" s="1408"/>
      <c r="I83" s="1134">
        <v>2022</v>
      </c>
      <c r="J83" s="1134">
        <v>2023</v>
      </c>
      <c r="K83" s="1134">
        <v>2024</v>
      </c>
      <c r="L83" s="1134">
        <v>2025</v>
      </c>
    </row>
    <row r="84" spans="1:18" s="1135" customFormat="1" ht="14.25" customHeight="1">
      <c r="A84" s="329" t="s">
        <v>200</v>
      </c>
      <c r="B84" s="330" t="s">
        <v>187</v>
      </c>
      <c r="C84" s="401" t="s">
        <v>41</v>
      </c>
      <c r="D84" s="406">
        <v>31</v>
      </c>
      <c r="E84" s="406">
        <v>31</v>
      </c>
      <c r="F84" s="406">
        <v>32</v>
      </c>
      <c r="G84" s="406">
        <v>32</v>
      </c>
      <c r="H84" s="406">
        <f>G84</f>
        <v>32</v>
      </c>
      <c r="I84" s="1404">
        <f t="shared" ref="I84:I93" si="26">E84-D84</f>
        <v>0</v>
      </c>
      <c r="J84" s="1144">
        <f t="shared" ref="J84:J93" si="27">F84-E84</f>
        <v>1</v>
      </c>
      <c r="K84" s="1144">
        <f t="shared" ref="K84:L93" si="28">G84-F84</f>
        <v>0</v>
      </c>
      <c r="L84" s="1144">
        <f t="shared" si="28"/>
        <v>0</v>
      </c>
      <c r="R84" s="1141"/>
    </row>
    <row r="85" spans="1:18" s="1146" customFormat="1" ht="14.25" customHeight="1">
      <c r="A85" s="5" t="s">
        <v>201</v>
      </c>
      <c r="B85" s="7" t="s">
        <v>1246</v>
      </c>
      <c r="C85" s="398" t="s">
        <v>41</v>
      </c>
      <c r="D85" s="399">
        <v>29</v>
      </c>
      <c r="E85" s="399">
        <v>31</v>
      </c>
      <c r="F85" s="399">
        <v>32</v>
      </c>
      <c r="G85" s="399">
        <v>32</v>
      </c>
      <c r="H85" s="399">
        <f>G85</f>
        <v>32</v>
      </c>
      <c r="I85" s="1405">
        <f t="shared" si="26"/>
        <v>2</v>
      </c>
      <c r="J85" s="1145">
        <f t="shared" si="27"/>
        <v>1</v>
      </c>
      <c r="K85" s="1145">
        <f t="shared" si="28"/>
        <v>0</v>
      </c>
      <c r="L85" s="1145">
        <f t="shared" si="28"/>
        <v>0</v>
      </c>
      <c r="R85" s="1141"/>
    </row>
    <row r="86" spans="1:18" s="1146" customFormat="1" ht="14.25" customHeight="1">
      <c r="A86" s="5" t="s">
        <v>202</v>
      </c>
      <c r="B86" s="7" t="s">
        <v>203</v>
      </c>
      <c r="C86" s="398" t="s">
        <v>41</v>
      </c>
      <c r="D86" s="399">
        <v>22</v>
      </c>
      <c r="E86" s="399">
        <v>24</v>
      </c>
      <c r="F86" s="399">
        <v>25</v>
      </c>
      <c r="G86" s="399">
        <v>25</v>
      </c>
      <c r="H86" s="399">
        <f>G86</f>
        <v>25</v>
      </c>
      <c r="I86" s="1405">
        <f t="shared" si="26"/>
        <v>2</v>
      </c>
      <c r="J86" s="1145">
        <f t="shared" si="27"/>
        <v>1</v>
      </c>
      <c r="K86" s="1145">
        <f t="shared" si="28"/>
        <v>0</v>
      </c>
      <c r="L86" s="1145">
        <f t="shared" si="28"/>
        <v>0</v>
      </c>
      <c r="R86" s="1141"/>
    </row>
    <row r="87" spans="1:18" s="1146" customFormat="1" ht="14.25" customHeight="1">
      <c r="A87" s="5" t="s">
        <v>458</v>
      </c>
      <c r="B87" s="7" t="s">
        <v>982</v>
      </c>
      <c r="C87" s="398" t="s">
        <v>41</v>
      </c>
      <c r="D87" s="399">
        <v>57</v>
      </c>
      <c r="E87" s="399">
        <v>59</v>
      </c>
      <c r="F87" s="399">
        <v>62</v>
      </c>
      <c r="G87" s="399">
        <v>69</v>
      </c>
      <c r="H87" s="399">
        <f>G87</f>
        <v>69</v>
      </c>
      <c r="I87" s="1405">
        <f t="shared" si="26"/>
        <v>2</v>
      </c>
      <c r="J87" s="1145">
        <f t="shared" si="27"/>
        <v>3</v>
      </c>
      <c r="K87" s="1145">
        <f t="shared" si="28"/>
        <v>7</v>
      </c>
      <c r="L87" s="1145">
        <f t="shared" si="28"/>
        <v>0</v>
      </c>
      <c r="R87" s="1141"/>
    </row>
    <row r="88" spans="1:18" s="1146" customFormat="1" ht="14.25" customHeight="1" thickBot="1">
      <c r="A88" s="728" t="s">
        <v>1169</v>
      </c>
      <c r="B88" s="754" t="s">
        <v>204</v>
      </c>
      <c r="C88" s="755" t="s">
        <v>41</v>
      </c>
      <c r="D88" s="756">
        <v>7</v>
      </c>
      <c r="E88" s="756">
        <v>7</v>
      </c>
      <c r="F88" s="756">
        <v>7</v>
      </c>
      <c r="G88" s="756">
        <v>8</v>
      </c>
      <c r="H88" s="756">
        <f>G88+1</f>
        <v>9</v>
      </c>
      <c r="I88" s="1406">
        <f t="shared" si="26"/>
        <v>0</v>
      </c>
      <c r="J88" s="1147">
        <f t="shared" si="27"/>
        <v>0</v>
      </c>
      <c r="K88" s="1147">
        <f t="shared" si="28"/>
        <v>1</v>
      </c>
      <c r="L88" s="1147">
        <f t="shared" si="28"/>
        <v>1</v>
      </c>
      <c r="R88" s="1141"/>
    </row>
    <row r="89" spans="1:18" s="1135" customFormat="1" ht="14.25" customHeight="1">
      <c r="A89" s="326" t="s">
        <v>721</v>
      </c>
      <c r="B89" s="333" t="s">
        <v>188</v>
      </c>
      <c r="C89" s="402" t="s">
        <v>41</v>
      </c>
      <c r="D89" s="407">
        <f t="shared" ref="D89:G89" si="29">SUM(D90:D93)</f>
        <v>2409</v>
      </c>
      <c r="E89" s="407">
        <f t="shared" si="29"/>
        <v>2685</v>
      </c>
      <c r="F89" s="407">
        <f t="shared" si="29"/>
        <v>3031</v>
      </c>
      <c r="G89" s="407">
        <f t="shared" si="29"/>
        <v>3096</v>
      </c>
      <c r="H89" s="407">
        <f t="shared" ref="H89" si="30">SUM(H90:H93)</f>
        <v>3116</v>
      </c>
      <c r="I89" s="1407">
        <f t="shared" si="26"/>
        <v>276</v>
      </c>
      <c r="J89" s="1148">
        <f t="shared" si="27"/>
        <v>346</v>
      </c>
      <c r="K89" s="1148">
        <f t="shared" si="28"/>
        <v>65</v>
      </c>
      <c r="L89" s="1148">
        <f t="shared" si="28"/>
        <v>20</v>
      </c>
    </row>
    <row r="90" spans="1:18" s="1135" customFormat="1" ht="28.2" customHeight="1">
      <c r="A90" s="5" t="s">
        <v>110</v>
      </c>
      <c r="B90" s="9" t="s">
        <v>324</v>
      </c>
      <c r="C90" s="398" t="s">
        <v>41</v>
      </c>
      <c r="D90" s="399">
        <v>1308</v>
      </c>
      <c r="E90" s="399">
        <v>1455</v>
      </c>
      <c r="F90" s="399">
        <v>1628</v>
      </c>
      <c r="G90" s="399">
        <v>1662</v>
      </c>
      <c r="H90" s="399">
        <f>G90+10</f>
        <v>1672</v>
      </c>
      <c r="I90" s="1405">
        <f t="shared" si="26"/>
        <v>147</v>
      </c>
      <c r="J90" s="1145">
        <f t="shared" si="27"/>
        <v>173</v>
      </c>
      <c r="K90" s="1145">
        <f t="shared" si="28"/>
        <v>34</v>
      </c>
      <c r="L90" s="1145">
        <f t="shared" si="28"/>
        <v>10</v>
      </c>
    </row>
    <row r="91" spans="1:18" s="1135" customFormat="1" ht="28.2" customHeight="1">
      <c r="A91" s="5" t="s">
        <v>111</v>
      </c>
      <c r="B91" s="9" t="s">
        <v>325</v>
      </c>
      <c r="C91" s="398" t="s">
        <v>41</v>
      </c>
      <c r="D91" s="399">
        <v>117</v>
      </c>
      <c r="E91" s="399">
        <v>126</v>
      </c>
      <c r="F91" s="399">
        <v>155</v>
      </c>
      <c r="G91" s="399">
        <v>158</v>
      </c>
      <c r="H91" s="399">
        <f>G91</f>
        <v>158</v>
      </c>
      <c r="I91" s="1405">
        <f t="shared" si="26"/>
        <v>9</v>
      </c>
      <c r="J91" s="1145">
        <f t="shared" si="27"/>
        <v>29</v>
      </c>
      <c r="K91" s="1145">
        <f t="shared" si="28"/>
        <v>3</v>
      </c>
      <c r="L91" s="1145">
        <f t="shared" si="28"/>
        <v>0</v>
      </c>
    </row>
    <row r="92" spans="1:18" s="1135" customFormat="1" ht="28.2" customHeight="1">
      <c r="A92" s="5" t="s">
        <v>165</v>
      </c>
      <c r="B92" s="9" t="s">
        <v>326</v>
      </c>
      <c r="C92" s="398" t="s">
        <v>41</v>
      </c>
      <c r="D92" s="399">
        <v>888</v>
      </c>
      <c r="E92" s="399">
        <v>1002</v>
      </c>
      <c r="F92" s="399">
        <v>1134</v>
      </c>
      <c r="G92" s="399">
        <v>1160</v>
      </c>
      <c r="H92" s="399">
        <f>G92+10</f>
        <v>1170</v>
      </c>
      <c r="I92" s="1405">
        <f t="shared" si="26"/>
        <v>114</v>
      </c>
      <c r="J92" s="1145">
        <f t="shared" si="27"/>
        <v>132</v>
      </c>
      <c r="K92" s="1145">
        <f t="shared" si="28"/>
        <v>26</v>
      </c>
      <c r="L92" s="1145">
        <f t="shared" si="28"/>
        <v>10</v>
      </c>
    </row>
    <row r="93" spans="1:18" s="1135" customFormat="1" ht="28.2" customHeight="1" thickBot="1">
      <c r="A93" s="728" t="s">
        <v>583</v>
      </c>
      <c r="B93" s="757" t="s">
        <v>327</v>
      </c>
      <c r="C93" s="755" t="s">
        <v>41</v>
      </c>
      <c r="D93" s="756">
        <v>96</v>
      </c>
      <c r="E93" s="756">
        <v>102</v>
      </c>
      <c r="F93" s="756">
        <v>114</v>
      </c>
      <c r="G93" s="756">
        <v>116</v>
      </c>
      <c r="H93" s="756">
        <f>G93</f>
        <v>116</v>
      </c>
      <c r="I93" s="1406">
        <f t="shared" si="26"/>
        <v>6</v>
      </c>
      <c r="J93" s="1147">
        <f t="shared" si="27"/>
        <v>12</v>
      </c>
      <c r="K93" s="1147">
        <f t="shared" si="28"/>
        <v>2</v>
      </c>
      <c r="L93" s="1147">
        <f t="shared" si="28"/>
        <v>0</v>
      </c>
    </row>
    <row r="94" spans="1:18" s="1135" customFormat="1" ht="14.25" customHeight="1">
      <c r="A94" s="329" t="s">
        <v>584</v>
      </c>
      <c r="B94" s="332" t="s">
        <v>242</v>
      </c>
      <c r="C94" s="401" t="s">
        <v>41</v>
      </c>
      <c r="D94" s="406">
        <v>176</v>
      </c>
      <c r="E94" s="406">
        <v>20</v>
      </c>
      <c r="F94" s="406">
        <v>18</v>
      </c>
      <c r="G94" s="406">
        <v>73</v>
      </c>
      <c r="H94" s="406">
        <v>0</v>
      </c>
      <c r="I94" s="1149"/>
      <c r="J94" s="1149"/>
      <c r="K94" s="1149"/>
    </row>
    <row r="95" spans="1:18" s="1135" customFormat="1" ht="27" thickBot="1">
      <c r="A95" s="758" t="s">
        <v>954</v>
      </c>
      <c r="B95" s="759" t="s">
        <v>243</v>
      </c>
      <c r="C95" s="755" t="s">
        <v>41</v>
      </c>
      <c r="D95" s="756">
        <v>386</v>
      </c>
      <c r="E95" s="756">
        <v>39</v>
      </c>
      <c r="F95" s="756">
        <v>18</v>
      </c>
      <c r="G95" s="756">
        <v>77</v>
      </c>
      <c r="H95" s="756">
        <v>0</v>
      </c>
      <c r="I95" s="1149"/>
      <c r="J95" s="1149"/>
      <c r="K95" s="1149"/>
    </row>
    <row r="96" spans="1:18" s="1135" customFormat="1" ht="14.25" customHeight="1">
      <c r="A96" s="1169" t="s">
        <v>722</v>
      </c>
      <c r="B96" s="1668" t="s">
        <v>1158</v>
      </c>
      <c r="C96" s="1669"/>
      <c r="D96" s="1669"/>
      <c r="E96" s="1669"/>
      <c r="F96" s="1669"/>
      <c r="G96" s="1669"/>
      <c r="H96" s="1670"/>
      <c r="I96" s="1149"/>
      <c r="J96" s="1149"/>
      <c r="K96" s="1149"/>
    </row>
    <row r="97" spans="1:248" s="1135" customFormat="1" ht="14.25" customHeight="1">
      <c r="A97" s="329" t="s">
        <v>167</v>
      </c>
      <c r="B97" s="334" t="s">
        <v>264</v>
      </c>
      <c r="C97" s="401" t="s">
        <v>61</v>
      </c>
      <c r="D97" s="952">
        <f>'7. Elekter'!L115</f>
        <v>762704.99600000016</v>
      </c>
      <c r="E97" s="952">
        <f>'7. Elekter'!S115</f>
        <v>772386.49999999977</v>
      </c>
      <c r="F97" s="952">
        <f>'7. Elekter'!Z115</f>
        <v>738561.99280000012</v>
      </c>
      <c r="G97" s="952">
        <f>'7. Elekter'!AG115</f>
        <v>763087.89920000022</v>
      </c>
      <c r="H97" s="952">
        <f>'7. Elekter'!AN115</f>
        <v>774251.81270406686</v>
      </c>
    </row>
    <row r="98" spans="1:248" s="1135" customFormat="1" ht="14.25" customHeight="1">
      <c r="A98" s="326" t="s">
        <v>168</v>
      </c>
      <c r="B98" s="327" t="s">
        <v>1074</v>
      </c>
      <c r="C98" s="950" t="s">
        <v>1073</v>
      </c>
      <c r="D98" s="951">
        <f>IF((D11+D61)&gt;0,D97/(D11+D61),"-")</f>
        <v>1.1079055230493464</v>
      </c>
      <c r="E98" s="951">
        <f>IF((E11+E61)&gt;0,E97/(E11+E61),"-")</f>
        <v>1.06611317880579</v>
      </c>
      <c r="F98" s="951">
        <f>IF((F11+F61)&gt;0,F97/(F11+F61),"-")</f>
        <v>0.99794582804539089</v>
      </c>
      <c r="G98" s="951">
        <f>IF((G11+G61)&gt;0,G97/(G11+G61),"-")</f>
        <v>0.96083712939857813</v>
      </c>
      <c r="H98" s="951">
        <f>IF((H11+H61)&gt;0,H97/(H11+H61),"-")</f>
        <v>0.97341777528922124</v>
      </c>
    </row>
    <row r="99" spans="1:248" s="1135" customFormat="1" ht="14.25" customHeight="1">
      <c r="A99" s="5" t="s">
        <v>169</v>
      </c>
      <c r="B99" s="8" t="s">
        <v>265</v>
      </c>
      <c r="C99" s="398" t="s">
        <v>175</v>
      </c>
      <c r="D99" s="529">
        <f>'2. Kasumiaruanne'!D43</f>
        <v>72997.899999999994</v>
      </c>
      <c r="E99" s="529">
        <f>'2. Kasumiaruanne'!H43</f>
        <v>157594.96000000014</v>
      </c>
      <c r="F99" s="529">
        <f>'2. Kasumiaruanne'!L43</f>
        <v>143103.2000000001</v>
      </c>
      <c r="G99" s="529">
        <f>'2. Kasumiaruanne'!P43</f>
        <v>116820.23812586657</v>
      </c>
      <c r="H99" s="529">
        <f>'2. Kasumiaruanne'!T43</f>
        <v>124507.93719239219</v>
      </c>
    </row>
    <row r="100" spans="1:248" s="1135" customFormat="1" ht="14.25" customHeight="1" thickBot="1">
      <c r="A100" s="728" t="s">
        <v>724</v>
      </c>
      <c r="B100" s="729" t="s">
        <v>79</v>
      </c>
      <c r="C100" s="763" t="s">
        <v>339</v>
      </c>
      <c r="D100" s="1409">
        <f>IF(D97&gt;0,D99/D97,"-")</f>
        <v>9.5709219662696396E-2</v>
      </c>
      <c r="E100" s="1409">
        <f t="shared" ref="E100:G100" si="31">IF(E97&gt;0,E99/E97,"-")</f>
        <v>0.20403639887543371</v>
      </c>
      <c r="F100" s="1409">
        <f t="shared" si="31"/>
        <v>0.19375922589446315</v>
      </c>
      <c r="G100" s="1409">
        <f t="shared" si="31"/>
        <v>0.15308883583180602</v>
      </c>
      <c r="H100" s="1409">
        <f t="shared" ref="H100" si="32">IF(H97&gt;0,H99/H97,"-")</f>
        <v>0.16081064990671373</v>
      </c>
    </row>
    <row r="101" spans="1:248" s="1135" customFormat="1" ht="14.25" customHeight="1">
      <c r="A101" s="1169" t="s">
        <v>723</v>
      </c>
      <c r="B101" s="1668" t="s">
        <v>1159</v>
      </c>
      <c r="C101" s="1669"/>
      <c r="D101" s="1669"/>
      <c r="E101" s="1669"/>
      <c r="F101" s="1669"/>
      <c r="G101" s="1669"/>
      <c r="H101" s="1670"/>
    </row>
    <row r="102" spans="1:248" s="1135" customFormat="1" ht="28.5" customHeight="1">
      <c r="A102" s="11" t="s">
        <v>725</v>
      </c>
      <c r="B102" s="12" t="s">
        <v>1247</v>
      </c>
      <c r="C102" s="339" t="s">
        <v>732</v>
      </c>
      <c r="D102" s="789">
        <f>'9. Palgakulud'!C23</f>
        <v>12.100000000000001</v>
      </c>
      <c r="E102" s="789">
        <f>'9. Palgakulud'!I23</f>
        <v>11.66</v>
      </c>
      <c r="F102" s="789">
        <f>'9. Palgakulud'!O23</f>
        <v>11.66</v>
      </c>
      <c r="G102" s="789">
        <f>'9. Palgakulud'!U23</f>
        <v>10.924166666666668</v>
      </c>
      <c r="H102" s="789">
        <f>'9. Palgakulud'!AA23</f>
        <v>13.924166666666668</v>
      </c>
    </row>
    <row r="103" spans="1:248" s="1135" customFormat="1" ht="14.25" customHeight="1">
      <c r="A103" s="336" t="s">
        <v>726</v>
      </c>
      <c r="B103" s="337" t="s">
        <v>266</v>
      </c>
      <c r="C103" s="338" t="s">
        <v>175</v>
      </c>
      <c r="D103" s="408">
        <f t="shared" ref="D103:G103" si="33">IF(D102&gt;0,D104/12/D102,"-")</f>
        <v>1775.9387741046828</v>
      </c>
      <c r="E103" s="408">
        <f t="shared" si="33"/>
        <v>1941.6693825042883</v>
      </c>
      <c r="F103" s="408">
        <f t="shared" si="33"/>
        <v>2208.8336192109778</v>
      </c>
      <c r="G103" s="408">
        <f t="shared" si="33"/>
        <v>2626.0717827446788</v>
      </c>
      <c r="H103" s="408">
        <f t="shared" ref="H103" si="34">IF(H102&gt;0,H104/12/H102,"-")</f>
        <v>2831.2324944640609</v>
      </c>
    </row>
    <row r="104" spans="1:248" s="1135" customFormat="1" ht="14.25" customHeight="1" thickBot="1">
      <c r="A104" s="758" t="s">
        <v>727</v>
      </c>
      <c r="B104" s="762" t="s">
        <v>1218</v>
      </c>
      <c r="C104" s="763" t="s">
        <v>175</v>
      </c>
      <c r="D104" s="764">
        <f>'2. Kasumiaruanne'!D92</f>
        <v>257866.31</v>
      </c>
      <c r="E104" s="764">
        <f>'2. Kasumiaruanne'!H92</f>
        <v>271678.38</v>
      </c>
      <c r="F104" s="764">
        <f>'2. Kasumiaruanne'!L92</f>
        <v>309060</v>
      </c>
      <c r="G104" s="764">
        <f>'2. Kasumiaruanne'!P92</f>
        <v>344251.75</v>
      </c>
      <c r="H104" s="1410">
        <f>'2. Kasumiaruanne'!T92</f>
        <v>473070.63749999995</v>
      </c>
    </row>
    <row r="105" spans="1:248" s="1135" customFormat="1" ht="14.25" customHeight="1">
      <c r="A105" s="1400" t="s">
        <v>728</v>
      </c>
      <c r="B105" s="1668" t="s">
        <v>1160</v>
      </c>
      <c r="C105" s="1669"/>
      <c r="D105" s="1669"/>
      <c r="E105" s="1669"/>
      <c r="F105" s="1669"/>
      <c r="G105" s="1669"/>
      <c r="H105" s="1670"/>
    </row>
    <row r="106" spans="1:248" s="1135" customFormat="1" ht="14.25" customHeight="1">
      <c r="A106" s="1170" t="s">
        <v>729</v>
      </c>
      <c r="B106" s="1171" t="s">
        <v>990</v>
      </c>
      <c r="C106" s="401" t="s">
        <v>175</v>
      </c>
      <c r="D106" s="761">
        <v>2578144</v>
      </c>
      <c r="E106" s="761">
        <v>2466489</v>
      </c>
      <c r="F106" s="761">
        <v>2669748</v>
      </c>
      <c r="G106" s="761">
        <f>F106-230121</f>
        <v>2439627</v>
      </c>
      <c r="H106" s="761">
        <f>G106-235875</f>
        <v>2203752</v>
      </c>
    </row>
    <row r="107" spans="1:248" s="1135" customFormat="1" ht="14.25" customHeight="1">
      <c r="A107" s="5" t="s">
        <v>730</v>
      </c>
      <c r="B107" s="10" t="s">
        <v>991</v>
      </c>
      <c r="C107" s="398" t="s">
        <v>42</v>
      </c>
      <c r="D107" s="497">
        <f>16839/(((93518+1816960)+(134799+638762))/2)</f>
        <v>1.2547507692697461E-2</v>
      </c>
      <c r="E107" s="497">
        <f>39017/(((204627+1978809)+(93518+1816960))/2)</f>
        <v>1.9060976854911951E-2</v>
      </c>
      <c r="F107" s="497">
        <f>103232/(((223954+2046742)+(204627+1978809))/2)</f>
        <v>4.6353363573419015E-2</v>
      </c>
      <c r="G107" s="497">
        <f>125400/2122818</f>
        <v>5.907242165838051E-2</v>
      </c>
      <c r="H107" s="497">
        <f>111882/(G106*0.5+H106*0.5)</f>
        <v>4.8189906531428947E-2</v>
      </c>
    </row>
    <row r="108" spans="1:248" s="1135" customFormat="1">
      <c r="A108" s="5" t="s">
        <v>731</v>
      </c>
      <c r="B108" s="10" t="s">
        <v>240</v>
      </c>
      <c r="C108" s="398" t="s">
        <v>175</v>
      </c>
      <c r="D108" s="496">
        <f>(33332+42171)/12</f>
        <v>6291.916666666667</v>
      </c>
      <c r="E108" s="496">
        <f>(50335+43021)/12</f>
        <v>7779.666666666667</v>
      </c>
      <c r="F108" s="496">
        <f>(169220+43519)/12</f>
        <v>17728.25</v>
      </c>
      <c r="G108" s="496">
        <f>244465/12</f>
        <v>20372.083333333332</v>
      </c>
      <c r="H108" s="496">
        <f>235875/12</f>
        <v>19656.25</v>
      </c>
    </row>
    <row r="109" spans="1:248" ht="14.25" customHeight="1" thickBot="1">
      <c r="A109" s="728" t="s">
        <v>1170</v>
      </c>
      <c r="B109" s="765" t="s">
        <v>153</v>
      </c>
      <c r="C109" s="755" t="s">
        <v>175</v>
      </c>
      <c r="D109" s="766">
        <f>14005/12</f>
        <v>1167.0833333333333</v>
      </c>
      <c r="E109" s="766">
        <f>(28732/12)</f>
        <v>2394.3333333333335</v>
      </c>
      <c r="F109" s="766">
        <f>(87672/12)</f>
        <v>7306</v>
      </c>
      <c r="G109" s="766">
        <f>125400/12</f>
        <v>10450</v>
      </c>
      <c r="H109" s="766">
        <f>111882/12</f>
        <v>9323.5</v>
      </c>
      <c r="I109" s="1135"/>
      <c r="J109" s="1135"/>
      <c r="K109" s="1135"/>
      <c r="L109" s="1135"/>
      <c r="M109" s="1135"/>
      <c r="N109" s="1135"/>
      <c r="O109" s="1135"/>
      <c r="P109" s="1135"/>
      <c r="Q109" s="1135"/>
      <c r="R109" s="1135"/>
      <c r="S109" s="1135"/>
      <c r="T109" s="1135"/>
      <c r="U109" s="1135"/>
      <c r="V109" s="1135"/>
      <c r="W109" s="1135"/>
      <c r="X109" s="1135"/>
      <c r="Y109" s="1135"/>
      <c r="Z109" s="1135"/>
      <c r="AA109" s="1135"/>
      <c r="AB109" s="1135"/>
      <c r="AC109" s="1135"/>
      <c r="AD109" s="1135"/>
      <c r="AE109" s="1135"/>
      <c r="AF109" s="1135"/>
      <c r="AG109" s="1135"/>
      <c r="AH109" s="1135"/>
      <c r="AI109" s="1135"/>
      <c r="AJ109" s="1135"/>
      <c r="AK109" s="1135"/>
      <c r="AL109" s="1135"/>
      <c r="AM109" s="1135"/>
      <c r="AN109" s="1135"/>
      <c r="AO109" s="1135"/>
      <c r="AP109" s="1135"/>
      <c r="AQ109" s="1135"/>
      <c r="AR109" s="1135"/>
      <c r="AS109" s="1135"/>
      <c r="AT109" s="1135"/>
      <c r="AU109" s="1135"/>
      <c r="AV109" s="1135"/>
      <c r="AW109" s="1135"/>
      <c r="AX109" s="1135"/>
      <c r="AY109" s="1135"/>
      <c r="AZ109" s="1135"/>
      <c r="BA109" s="1135"/>
      <c r="BB109" s="1135"/>
      <c r="BC109" s="1135"/>
      <c r="BD109" s="1135"/>
      <c r="BE109" s="1135"/>
      <c r="BF109" s="1135"/>
      <c r="BG109" s="1135"/>
      <c r="BH109" s="1135"/>
      <c r="BI109" s="1135"/>
      <c r="BJ109" s="1135"/>
      <c r="BK109" s="1135"/>
      <c r="BL109" s="1135"/>
      <c r="BM109" s="1135"/>
      <c r="BN109" s="1135"/>
      <c r="BO109" s="1135"/>
      <c r="BP109" s="1135"/>
      <c r="BQ109" s="1135"/>
      <c r="BR109" s="1135"/>
      <c r="BS109" s="1135"/>
      <c r="BT109" s="1135"/>
      <c r="BU109" s="1135"/>
      <c r="BV109" s="1135"/>
      <c r="BW109" s="1135"/>
      <c r="BX109" s="1135"/>
      <c r="BY109" s="1135"/>
      <c r="BZ109" s="1135"/>
      <c r="CA109" s="1135"/>
      <c r="CB109" s="1135"/>
      <c r="CC109" s="1135"/>
      <c r="CD109" s="1135"/>
      <c r="CE109" s="1135"/>
      <c r="CF109" s="1135"/>
      <c r="CG109" s="1135"/>
      <c r="CH109" s="1135"/>
      <c r="CI109" s="1135"/>
      <c r="CJ109" s="1135"/>
      <c r="CK109" s="1135"/>
      <c r="CL109" s="1135"/>
      <c r="CM109" s="1135"/>
      <c r="CN109" s="1135"/>
      <c r="CO109" s="1135"/>
      <c r="CP109" s="1135"/>
      <c r="CQ109" s="1135"/>
      <c r="CR109" s="1135"/>
      <c r="CS109" s="1135"/>
      <c r="CT109" s="1135"/>
      <c r="CU109" s="1135"/>
      <c r="CV109" s="1135"/>
      <c r="CW109" s="1135"/>
      <c r="CX109" s="1135"/>
      <c r="CY109" s="1135"/>
      <c r="CZ109" s="1135"/>
      <c r="DA109" s="1135"/>
      <c r="DB109" s="1135"/>
      <c r="DC109" s="1135"/>
      <c r="DD109" s="1135"/>
      <c r="DE109" s="1135"/>
      <c r="DF109" s="1135"/>
      <c r="DG109" s="1135"/>
      <c r="DH109" s="1135"/>
      <c r="DI109" s="1135"/>
      <c r="DJ109" s="1135"/>
      <c r="DK109" s="1135"/>
      <c r="DL109" s="1135"/>
      <c r="DM109" s="1135"/>
      <c r="DN109" s="1135"/>
      <c r="DO109" s="1135"/>
      <c r="DP109" s="1135"/>
      <c r="DQ109" s="1135"/>
      <c r="DR109" s="1135"/>
      <c r="DS109" s="1135"/>
      <c r="DT109" s="1135"/>
      <c r="DU109" s="1135"/>
      <c r="DV109" s="1135"/>
      <c r="DW109" s="1135"/>
      <c r="DX109" s="1135"/>
      <c r="DY109" s="1135"/>
      <c r="DZ109" s="1135"/>
      <c r="EA109" s="1135"/>
      <c r="EB109" s="1135"/>
      <c r="EC109" s="1135"/>
      <c r="ED109" s="1135"/>
      <c r="EE109" s="1135"/>
      <c r="EF109" s="1135"/>
      <c r="EG109" s="1135"/>
      <c r="EH109" s="1135"/>
      <c r="EI109" s="1135"/>
      <c r="EJ109" s="1135"/>
      <c r="EK109" s="1135"/>
      <c r="EL109" s="1135"/>
      <c r="EM109" s="1135"/>
      <c r="EN109" s="1135"/>
      <c r="EO109" s="1135"/>
      <c r="EP109" s="1135"/>
      <c r="EQ109" s="1135"/>
      <c r="ER109" s="1135"/>
      <c r="ES109" s="1135"/>
      <c r="ET109" s="1135"/>
      <c r="EU109" s="1135"/>
      <c r="EV109" s="1135"/>
      <c r="EW109" s="1135"/>
      <c r="EX109" s="1135"/>
      <c r="EY109" s="1135"/>
      <c r="EZ109" s="1135"/>
      <c r="FA109" s="1135"/>
      <c r="FB109" s="1135"/>
      <c r="FC109" s="1135"/>
      <c r="FD109" s="1135"/>
      <c r="FE109" s="1135"/>
      <c r="FF109" s="1135"/>
      <c r="FG109" s="1135"/>
      <c r="FH109" s="1135"/>
      <c r="FI109" s="1135"/>
      <c r="FJ109" s="1135"/>
      <c r="FK109" s="1135"/>
      <c r="FL109" s="1135"/>
      <c r="FM109" s="1135"/>
      <c r="FN109" s="1135"/>
      <c r="FO109" s="1135"/>
      <c r="FP109" s="1135"/>
      <c r="FQ109" s="1135"/>
      <c r="FR109" s="1135"/>
      <c r="FS109" s="1135"/>
      <c r="FT109" s="1135"/>
      <c r="FU109" s="1135"/>
      <c r="FV109" s="1135"/>
      <c r="FW109" s="1135"/>
      <c r="FX109" s="1135"/>
      <c r="FY109" s="1135"/>
      <c r="FZ109" s="1135"/>
      <c r="GA109" s="1135"/>
      <c r="GB109" s="1135"/>
      <c r="GC109" s="1135"/>
      <c r="GD109" s="1135"/>
      <c r="GE109" s="1135"/>
      <c r="GF109" s="1135"/>
      <c r="GG109" s="1135"/>
      <c r="GH109" s="1135"/>
      <c r="GI109" s="1135"/>
      <c r="GJ109" s="1135"/>
      <c r="GK109" s="1135"/>
      <c r="GL109" s="1135"/>
      <c r="GM109" s="1135"/>
      <c r="GN109" s="1135"/>
      <c r="GO109" s="1135"/>
      <c r="GP109" s="1135"/>
      <c r="GQ109" s="1135"/>
      <c r="GR109" s="1135"/>
      <c r="GS109" s="1135"/>
      <c r="GT109" s="1135"/>
      <c r="GU109" s="1135"/>
      <c r="GV109" s="1135"/>
      <c r="GW109" s="1135"/>
      <c r="GX109" s="1135"/>
      <c r="GY109" s="1135"/>
      <c r="GZ109" s="1135"/>
      <c r="HA109" s="1135"/>
      <c r="HB109" s="1135"/>
      <c r="HC109" s="1135"/>
      <c r="HD109" s="1135"/>
      <c r="HE109" s="1135"/>
      <c r="HF109" s="1135"/>
      <c r="HG109" s="1135"/>
      <c r="HH109" s="1135"/>
      <c r="HI109" s="1135"/>
      <c r="HJ109" s="1135"/>
      <c r="HK109" s="1135"/>
      <c r="HL109" s="1135"/>
      <c r="HM109" s="1135"/>
      <c r="HN109" s="1135"/>
      <c r="HO109" s="1135"/>
      <c r="HP109" s="1135"/>
      <c r="HQ109" s="1135"/>
      <c r="HR109" s="1135"/>
      <c r="HS109" s="1135"/>
      <c r="HT109" s="1135"/>
      <c r="HU109" s="1135"/>
      <c r="HV109" s="1135"/>
      <c r="HW109" s="1135"/>
      <c r="HX109" s="1135"/>
      <c r="HY109" s="1135"/>
      <c r="HZ109" s="1135"/>
      <c r="IA109" s="1135"/>
      <c r="IB109" s="1135"/>
      <c r="IC109" s="1135"/>
      <c r="ID109" s="1135"/>
      <c r="IE109" s="1135"/>
      <c r="IF109" s="1135"/>
      <c r="IG109" s="1135"/>
      <c r="IH109" s="1135"/>
      <c r="II109" s="1135"/>
      <c r="IJ109" s="1135"/>
      <c r="IK109" s="1135"/>
      <c r="IL109" s="1135"/>
      <c r="IM109" s="1135"/>
      <c r="IN109" s="1135"/>
    </row>
    <row r="110" spans="1:248">
      <c r="C110" s="1154"/>
      <c r="I110" s="1135"/>
      <c r="J110" s="1135"/>
      <c r="K110" s="1135"/>
      <c r="L110" s="1135"/>
      <c r="M110" s="1135"/>
      <c r="N110" s="1135"/>
      <c r="O110" s="1135"/>
      <c r="P110" s="1135"/>
      <c r="Q110" s="1135"/>
      <c r="R110" s="1135"/>
      <c r="S110" s="1135"/>
      <c r="T110" s="1135"/>
      <c r="U110" s="1135"/>
      <c r="V110" s="1135"/>
      <c r="W110" s="1135"/>
      <c r="X110" s="1135"/>
      <c r="Y110" s="1135"/>
      <c r="Z110" s="1135"/>
      <c r="AA110" s="1135"/>
      <c r="AB110" s="1135"/>
      <c r="AC110" s="1135"/>
      <c r="AD110" s="1135"/>
      <c r="AE110" s="1135"/>
      <c r="AF110" s="1135"/>
      <c r="AG110" s="1135"/>
      <c r="AH110" s="1135"/>
      <c r="AI110" s="1135"/>
      <c r="AJ110" s="1135"/>
      <c r="AK110" s="1135"/>
      <c r="AL110" s="1135"/>
      <c r="AM110" s="1135"/>
      <c r="AN110" s="1135"/>
      <c r="AO110" s="1135"/>
      <c r="AP110" s="1135"/>
      <c r="AQ110" s="1135"/>
      <c r="AR110" s="1135"/>
      <c r="AS110" s="1135"/>
      <c r="AT110" s="1135"/>
      <c r="AU110" s="1135"/>
      <c r="AV110" s="1135"/>
      <c r="AW110" s="1135"/>
      <c r="AX110" s="1135"/>
      <c r="AY110" s="1135"/>
      <c r="AZ110" s="1135"/>
      <c r="BA110" s="1135"/>
      <c r="BB110" s="1135"/>
      <c r="BC110" s="1135"/>
      <c r="BD110" s="1135"/>
      <c r="BE110" s="1135"/>
      <c r="BF110" s="1135"/>
      <c r="BG110" s="1135"/>
      <c r="BH110" s="1135"/>
      <c r="BI110" s="1135"/>
      <c r="BJ110" s="1135"/>
      <c r="BK110" s="1135"/>
      <c r="BL110" s="1135"/>
      <c r="BM110" s="1135"/>
      <c r="BN110" s="1135"/>
      <c r="BO110" s="1135"/>
      <c r="BP110" s="1135"/>
      <c r="BQ110" s="1135"/>
      <c r="BR110" s="1135"/>
      <c r="BS110" s="1135"/>
      <c r="BT110" s="1135"/>
      <c r="BU110" s="1135"/>
      <c r="BV110" s="1135"/>
      <c r="BW110" s="1135"/>
      <c r="BX110" s="1135"/>
      <c r="BY110" s="1135"/>
      <c r="BZ110" s="1135"/>
      <c r="CA110" s="1135"/>
      <c r="CB110" s="1135"/>
      <c r="CC110" s="1135"/>
      <c r="CD110" s="1135"/>
      <c r="CE110" s="1135"/>
      <c r="CF110" s="1135"/>
      <c r="CG110" s="1135"/>
      <c r="CH110" s="1135"/>
      <c r="CI110" s="1135"/>
      <c r="CJ110" s="1135"/>
      <c r="CK110" s="1135"/>
      <c r="CL110" s="1135"/>
      <c r="CM110" s="1135"/>
      <c r="CN110" s="1135"/>
      <c r="CO110" s="1135"/>
      <c r="CP110" s="1135"/>
      <c r="CQ110" s="1135"/>
      <c r="CR110" s="1135"/>
      <c r="CS110" s="1135"/>
      <c r="CT110" s="1135"/>
      <c r="CU110" s="1135"/>
      <c r="CV110" s="1135"/>
      <c r="CW110" s="1135"/>
      <c r="CX110" s="1135"/>
      <c r="CY110" s="1135"/>
      <c r="CZ110" s="1135"/>
      <c r="DA110" s="1135"/>
      <c r="DB110" s="1135"/>
      <c r="DC110" s="1135"/>
      <c r="DD110" s="1135"/>
      <c r="DE110" s="1135"/>
      <c r="DF110" s="1135"/>
      <c r="DG110" s="1135"/>
      <c r="DH110" s="1135"/>
      <c r="DI110" s="1135"/>
      <c r="DJ110" s="1135"/>
      <c r="DK110" s="1135"/>
      <c r="DL110" s="1135"/>
      <c r="DM110" s="1135"/>
      <c r="DN110" s="1135"/>
      <c r="DO110" s="1135"/>
      <c r="DP110" s="1135"/>
      <c r="DQ110" s="1135"/>
      <c r="DR110" s="1135"/>
      <c r="DS110" s="1135"/>
      <c r="DT110" s="1135"/>
      <c r="DU110" s="1135"/>
      <c r="DV110" s="1135"/>
      <c r="DW110" s="1135"/>
      <c r="DX110" s="1135"/>
      <c r="DY110" s="1135"/>
      <c r="DZ110" s="1135"/>
      <c r="EA110" s="1135"/>
      <c r="EB110" s="1135"/>
      <c r="EC110" s="1135"/>
      <c r="ED110" s="1135"/>
      <c r="EE110" s="1135"/>
      <c r="EF110" s="1135"/>
      <c r="EG110" s="1135"/>
      <c r="EH110" s="1135"/>
      <c r="EI110" s="1135"/>
      <c r="EJ110" s="1135"/>
      <c r="EK110" s="1135"/>
      <c r="EL110" s="1135"/>
      <c r="EM110" s="1135"/>
      <c r="EN110" s="1135"/>
      <c r="EO110" s="1135"/>
      <c r="EP110" s="1135"/>
      <c r="EQ110" s="1135"/>
      <c r="ER110" s="1135"/>
      <c r="ES110" s="1135"/>
      <c r="ET110" s="1135"/>
      <c r="EU110" s="1135"/>
      <c r="EV110" s="1135"/>
      <c r="EW110" s="1135"/>
      <c r="EX110" s="1135"/>
      <c r="EY110" s="1135"/>
      <c r="EZ110" s="1135"/>
      <c r="FA110" s="1135"/>
      <c r="FB110" s="1135"/>
      <c r="FC110" s="1135"/>
      <c r="FD110" s="1135"/>
      <c r="FE110" s="1135"/>
      <c r="FF110" s="1135"/>
      <c r="FG110" s="1135"/>
      <c r="FH110" s="1135"/>
      <c r="FI110" s="1135"/>
      <c r="FJ110" s="1135"/>
      <c r="FK110" s="1135"/>
      <c r="FL110" s="1135"/>
      <c r="FM110" s="1135"/>
      <c r="FN110" s="1135"/>
      <c r="FO110" s="1135"/>
      <c r="FP110" s="1135"/>
      <c r="FQ110" s="1135"/>
      <c r="FR110" s="1135"/>
      <c r="FS110" s="1135"/>
      <c r="FT110" s="1135"/>
      <c r="FU110" s="1135"/>
      <c r="FV110" s="1135"/>
      <c r="FW110" s="1135"/>
      <c r="FX110" s="1135"/>
      <c r="FY110" s="1135"/>
      <c r="FZ110" s="1135"/>
      <c r="GA110" s="1135"/>
      <c r="GB110" s="1135"/>
      <c r="GC110" s="1135"/>
      <c r="GD110" s="1135"/>
      <c r="GE110" s="1135"/>
      <c r="GF110" s="1135"/>
      <c r="GG110" s="1135"/>
      <c r="GH110" s="1135"/>
      <c r="GI110" s="1135"/>
      <c r="GJ110" s="1135"/>
      <c r="GK110" s="1135"/>
      <c r="GL110" s="1135"/>
      <c r="GM110" s="1135"/>
      <c r="GN110" s="1135"/>
      <c r="GO110" s="1135"/>
      <c r="GP110" s="1135"/>
      <c r="GQ110" s="1135"/>
      <c r="GR110" s="1135"/>
      <c r="GS110" s="1135"/>
      <c r="GT110" s="1135"/>
      <c r="GU110" s="1135"/>
      <c r="GV110" s="1135"/>
      <c r="GW110" s="1135"/>
      <c r="GX110" s="1135"/>
      <c r="GY110" s="1135"/>
      <c r="GZ110" s="1135"/>
      <c r="HA110" s="1135"/>
      <c r="HB110" s="1135"/>
      <c r="HC110" s="1135"/>
      <c r="HD110" s="1135"/>
      <c r="HE110" s="1135"/>
      <c r="HF110" s="1135"/>
      <c r="HG110" s="1135"/>
      <c r="HH110" s="1135"/>
      <c r="HI110" s="1135"/>
      <c r="HJ110" s="1135"/>
      <c r="HK110" s="1135"/>
      <c r="HL110" s="1135"/>
      <c r="HM110" s="1135"/>
      <c r="HN110" s="1135"/>
      <c r="HO110" s="1135"/>
      <c r="HP110" s="1135"/>
      <c r="HQ110" s="1135"/>
      <c r="HR110" s="1135"/>
      <c r="HS110" s="1135"/>
      <c r="HT110" s="1135"/>
      <c r="HU110" s="1135"/>
      <c r="HV110" s="1135"/>
      <c r="HW110" s="1135"/>
      <c r="HX110" s="1135"/>
      <c r="HY110" s="1135"/>
      <c r="HZ110" s="1135"/>
      <c r="IA110" s="1135"/>
      <c r="IB110" s="1135"/>
      <c r="IC110" s="1135"/>
      <c r="ID110" s="1135"/>
      <c r="IE110" s="1135"/>
      <c r="IF110" s="1135"/>
      <c r="IG110" s="1135"/>
      <c r="IH110" s="1135"/>
      <c r="II110" s="1135"/>
      <c r="IJ110" s="1135"/>
      <c r="IK110" s="1135"/>
      <c r="IL110" s="1135"/>
      <c r="IM110" s="1135"/>
      <c r="IN110" s="1135"/>
    </row>
    <row r="111" spans="1:248">
      <c r="C111" s="1154"/>
    </row>
    <row r="112" spans="1:248" s="1155" customFormat="1">
      <c r="A112" s="1153"/>
      <c r="B112" s="1153"/>
      <c r="C112" s="1154"/>
      <c r="D112" s="1153"/>
      <c r="E112" s="1153"/>
      <c r="F112" s="1153"/>
      <c r="G112" s="1153"/>
      <c r="H112" s="1153"/>
    </row>
    <row r="113" spans="3:3">
      <c r="C113" s="1154"/>
    </row>
    <row r="114" spans="3:3">
      <c r="C114" s="1154"/>
    </row>
    <row r="115" spans="3:3">
      <c r="C115" s="1154"/>
    </row>
    <row r="116" spans="3:3">
      <c r="C116" s="1154"/>
    </row>
    <row r="117" spans="3:3">
      <c r="C117" s="1154"/>
    </row>
    <row r="118" spans="3:3">
      <c r="C118" s="1154"/>
    </row>
    <row r="119" spans="3:3" hidden="1">
      <c r="C119" s="1154"/>
    </row>
    <row r="120" spans="3:3" hidden="1">
      <c r="C120" s="1154"/>
    </row>
    <row r="121" spans="3:3" hidden="1">
      <c r="C121" s="1154"/>
    </row>
    <row r="122" spans="3:3" hidden="1">
      <c r="C122" s="1154"/>
    </row>
    <row r="123" spans="3:3" hidden="1">
      <c r="C123" s="1156"/>
    </row>
    <row r="124" spans="3:3" hidden="1"/>
    <row r="125" spans="3:3" hidden="1"/>
    <row r="126" spans="3:3" hidden="1"/>
    <row r="127" spans="3:3" hidden="1"/>
    <row r="128" spans="3:3" hidden="1"/>
    <row r="129" hidden="1"/>
    <row r="130" hidden="1"/>
    <row r="131" hidden="1"/>
    <row r="132" hidden="1"/>
    <row r="133" hidden="1"/>
    <row r="134" hidden="1"/>
  </sheetData>
  <sheetProtection selectLockedCells="1"/>
  <customSheetViews>
    <customSheetView guid="{9D39536F-7A22-4529-9C64-FD3A1A808A75}" showPageBreaks="1" showGridLines="0" hiddenRows="1">
      <pane xSplit="3" ySplit="4" topLeftCell="D56" activePane="bottomRight" state="frozen"/>
      <selection pane="bottomRight" activeCell="F69" sqref="F69"/>
      <pageMargins left="0.74803149606299213" right="0.74803149606299213" top="0.74803149606299213" bottom="0.9055118110236221" header="0.51181102362204722" footer="0.51181102362204722"/>
      <printOptions horizontalCentered="1"/>
      <pageSetup paperSize="9" scale="55" orientation="portrait" horizontalDpi="4294967293" r:id="rId1"/>
      <headerFooter alignWithMargins="0"/>
    </customSheetView>
    <customSheetView guid="{6C236B63-681D-4F29-AD2F-15CCCBE175D6}" showGridLines="0" hiddenRows="1">
      <pane xSplit="3" ySplit="4" topLeftCell="D5" activePane="bottomRight" state="frozen"/>
      <selection pane="bottomRight" activeCell="B75" sqref="B75"/>
      <pageMargins left="0.74803149606299213" right="0.74803149606299213" top="0.74803149606299213" bottom="0.9055118110236221" header="0.51181102362204722" footer="0.51181102362204722"/>
      <printOptions horizontalCentered="1"/>
      <pageSetup paperSize="9" scale="55" orientation="portrait" horizontalDpi="4294967293" r:id="rId2"/>
      <headerFooter alignWithMargins="0"/>
    </customSheetView>
    <customSheetView guid="{2DAF91AD-ADBA-4D7F-A05E-C1061079573C}" showPageBreaks="1" showGridLines="0" hiddenRows="1">
      <pane xSplit="3" ySplit="4" topLeftCell="D80" activePane="bottomRight" state="frozen"/>
      <selection pane="bottomRight" activeCell="B83" sqref="B83"/>
      <pageMargins left="0.74803149606299213" right="0.74803149606299213" top="0.74803149606299213" bottom="0.9055118110236221" header="0.51181102362204722" footer="0.51181102362204722"/>
      <printOptions horizontalCentered="1"/>
      <pageSetup paperSize="9" scale="55" orientation="portrait" horizontalDpi="4294967293" r:id="rId3"/>
      <headerFooter alignWithMargins="0"/>
    </customSheetView>
  </customSheetViews>
  <mergeCells count="37">
    <mergeCell ref="A81:A82"/>
    <mergeCell ref="A2:A3"/>
    <mergeCell ref="D2:D3"/>
    <mergeCell ref="E2:E3"/>
    <mergeCell ref="I8:J8"/>
    <mergeCell ref="I5:J5"/>
    <mergeCell ref="F2:F3"/>
    <mergeCell ref="G2:G3"/>
    <mergeCell ref="H2:H3"/>
    <mergeCell ref="I82:L82"/>
    <mergeCell ref="I59:M59"/>
    <mergeCell ref="I15:L15"/>
    <mergeCell ref="I32:L32"/>
    <mergeCell ref="A79:A80"/>
    <mergeCell ref="B79:B80"/>
    <mergeCell ref="C79:C80"/>
    <mergeCell ref="B101:H101"/>
    <mergeCell ref="B105:H105"/>
    <mergeCell ref="B2:B3"/>
    <mergeCell ref="C2:C3"/>
    <mergeCell ref="B83:G83"/>
    <mergeCell ref="D81:D82"/>
    <mergeCell ref="E81:E82"/>
    <mergeCell ref="F81:F82"/>
    <mergeCell ref="G81:G82"/>
    <mergeCell ref="H81:H82"/>
    <mergeCell ref="B81:B82"/>
    <mergeCell ref="C81:C82"/>
    <mergeCell ref="B4:H4"/>
    <mergeCell ref="B33:H33"/>
    <mergeCell ref="B73:H73"/>
    <mergeCell ref="B96:H96"/>
    <mergeCell ref="D79:D80"/>
    <mergeCell ref="E79:E80"/>
    <mergeCell ref="F79:F80"/>
    <mergeCell ref="G79:G80"/>
    <mergeCell ref="H79:H80"/>
  </mergeCells>
  <dataValidations count="2">
    <dataValidation showInputMessage="1" showErrorMessage="1" error="Vigased andmed" sqref="D89:H89 D94:E95 F90:H95 D50:H61 D63:H72 D81:H81 D74:H79"/>
    <dataValidation allowBlank="1" showInputMessage="1" showErrorMessage="1" error="Vigased andmed" sqref="D90:E93"/>
  </dataValidations>
  <printOptions horizontalCentered="1"/>
  <pageMargins left="0.74803149606299213" right="0.74803149606299213" top="0.74803149606299213" bottom="0.9055118110236221" header="0.51181102362204722" footer="0.51181102362204722"/>
  <pageSetup paperSize="9" scale="55" orientation="portrait" horizontalDpi="4294967293" r:id="rId4"/>
  <headerFooter alignWithMargins="0"/>
  <ignoredErrors>
    <ignoredError sqref="J6:M6 I106:M114 I4:M4 I102:M104 I11:M11 I7:M7 K5:M5 I13:M14 B59:C60 C55:C57 B71:C72 I64:M67 M101 C50 C63:C69 C106:C107 B11:C11 C61 B15:C17 I50:M57 B5:C9 M71:M72 M15:M16 M68:M69 B51:C54 B103:C103 B108:C109 C13:C14 I9:M9 I8:K8 M8 E50:G50 D103:E103 A110:G114 C104" numberStoredAsText="1"/>
  </ignoredErrors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>
  <dimension ref="A1:GY156"/>
  <sheetViews>
    <sheetView zoomScale="80" zoomScaleNormal="80" workbookViewId="0">
      <pane ySplit="4" topLeftCell="A5" activePane="bottomLeft" state="frozen"/>
      <selection activeCell="AB8" sqref="AB8"/>
      <selection pane="bottomLeft" activeCell="L16" sqref="L16"/>
    </sheetView>
  </sheetViews>
  <sheetFormatPr defaultColWidth="9.33203125" defaultRowHeight="13.2" outlineLevelRow="1"/>
  <cols>
    <col min="1" max="1" width="6.109375" style="673" customWidth="1"/>
    <col min="2" max="2" width="54.33203125" style="674" customWidth="1"/>
    <col min="3" max="4" width="15.6640625" style="674" customWidth="1"/>
    <col min="5" max="6" width="15.6640625" style="673" customWidth="1"/>
    <col min="7" max="9" width="15.6640625" style="300" customWidth="1"/>
    <col min="10" max="10" width="9.6640625" style="300" bestFit="1" customWidth="1"/>
    <col min="11" max="11" width="4.44140625" style="300" bestFit="1" customWidth="1"/>
    <col min="12" max="12" width="9.33203125" style="300" customWidth="1"/>
    <col min="13" max="13" width="9.6640625" style="300" bestFit="1" customWidth="1"/>
    <col min="14" max="14" width="4.44140625" style="300" bestFit="1" customWidth="1"/>
    <col min="15" max="15" width="9.33203125" style="300" customWidth="1"/>
    <col min="16" max="22" width="9.33203125" style="149"/>
    <col min="23" max="16384" width="9.33203125" style="300"/>
  </cols>
  <sheetData>
    <row r="1" spans="1:207" s="305" customFormat="1" ht="12.75" customHeight="1" thickBot="1">
      <c r="A1" s="1617"/>
      <c r="B1" s="2040" t="s">
        <v>357</v>
      </c>
      <c r="C1" s="2040"/>
      <c r="D1" s="2040"/>
      <c r="E1" s="2040"/>
      <c r="F1" s="2040"/>
      <c r="G1" s="2040"/>
      <c r="H1" s="2040"/>
      <c r="I1" s="2041"/>
      <c r="J1" s="1730" t="s">
        <v>1202</v>
      </c>
      <c r="K1" s="1730"/>
      <c r="L1" s="1731"/>
      <c r="M1" s="1734" t="s">
        <v>1203</v>
      </c>
      <c r="N1" s="1730"/>
      <c r="O1" s="1730"/>
      <c r="P1" s="157"/>
      <c r="Q1" s="157"/>
      <c r="R1" s="157"/>
      <c r="S1" s="157"/>
      <c r="T1" s="157"/>
      <c r="U1" s="157"/>
      <c r="V1" s="157"/>
    </row>
    <row r="2" spans="1:207" s="305" customFormat="1">
      <c r="A2" s="1736" t="s">
        <v>113</v>
      </c>
      <c r="B2" s="1739" t="s">
        <v>994</v>
      </c>
      <c r="C2" s="1708">
        <v>2019</v>
      </c>
      <c r="D2" s="1741">
        <v>2020</v>
      </c>
      <c r="E2" s="1744">
        <v>2021</v>
      </c>
      <c r="F2" s="1744">
        <v>2022</v>
      </c>
      <c r="G2" s="1744">
        <v>2023</v>
      </c>
      <c r="H2" s="1744" t="s">
        <v>1195</v>
      </c>
      <c r="I2" s="1727" t="s">
        <v>1194</v>
      </c>
      <c r="J2" s="1732"/>
      <c r="K2" s="1732"/>
      <c r="L2" s="1733"/>
      <c r="M2" s="1735"/>
      <c r="N2" s="1732"/>
      <c r="O2" s="1732"/>
      <c r="P2" s="149"/>
      <c r="Q2" s="149"/>
      <c r="R2" s="149"/>
      <c r="S2" s="149"/>
      <c r="T2" s="149"/>
      <c r="U2" s="149"/>
      <c r="V2" s="149"/>
    </row>
    <row r="3" spans="1:207" s="305" customFormat="1">
      <c r="A3" s="1737"/>
      <c r="B3" s="1740"/>
      <c r="C3" s="1709"/>
      <c r="D3" s="1742"/>
      <c r="E3" s="1745"/>
      <c r="F3" s="1745"/>
      <c r="G3" s="1745"/>
      <c r="H3" s="1745"/>
      <c r="I3" s="1728"/>
      <c r="J3" s="700" t="s">
        <v>685</v>
      </c>
      <c r="K3" s="188"/>
      <c r="L3" s="188" t="s">
        <v>953</v>
      </c>
      <c r="M3" s="1374" t="s">
        <v>685</v>
      </c>
      <c r="N3" s="188"/>
      <c r="O3" s="188" t="s">
        <v>953</v>
      </c>
      <c r="P3" s="149"/>
      <c r="Q3" s="149"/>
      <c r="R3" s="149"/>
      <c r="S3" s="149"/>
      <c r="T3" s="149"/>
      <c r="U3" s="149"/>
      <c r="V3" s="149"/>
    </row>
    <row r="4" spans="1:207" s="295" customFormat="1" ht="13.8" thickBot="1">
      <c r="A4" s="1738"/>
      <c r="B4" s="627" t="s">
        <v>899</v>
      </c>
      <c r="C4" s="1710"/>
      <c r="D4" s="1743"/>
      <c r="E4" s="1746"/>
      <c r="F4" s="1746"/>
      <c r="G4" s="1746"/>
      <c r="H4" s="1746"/>
      <c r="I4" s="1729"/>
      <c r="J4" s="296" t="s">
        <v>952</v>
      </c>
      <c r="K4" s="296" t="s">
        <v>42</v>
      </c>
      <c r="L4" s="296" t="s">
        <v>900</v>
      </c>
      <c r="M4" s="1375" t="s">
        <v>952</v>
      </c>
      <c r="N4" s="296" t="s">
        <v>42</v>
      </c>
      <c r="O4" s="296" t="s">
        <v>900</v>
      </c>
      <c r="P4" s="296"/>
      <c r="Q4" s="296"/>
      <c r="R4" s="296"/>
      <c r="S4" s="296"/>
      <c r="T4" s="296"/>
      <c r="U4" s="296"/>
      <c r="V4" s="296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4"/>
      <c r="FH4" s="294"/>
      <c r="FI4" s="294"/>
      <c r="FJ4" s="294"/>
      <c r="FK4" s="294"/>
      <c r="FL4" s="294"/>
      <c r="FM4" s="294"/>
      <c r="FN4" s="294"/>
      <c r="FO4" s="294"/>
      <c r="FP4" s="294"/>
      <c r="FQ4" s="294"/>
      <c r="FR4" s="294"/>
      <c r="FS4" s="294"/>
      <c r="FT4" s="294"/>
      <c r="FU4" s="294"/>
      <c r="FV4" s="294"/>
      <c r="FW4" s="294"/>
      <c r="FX4" s="294"/>
      <c r="FY4" s="294"/>
      <c r="FZ4" s="294"/>
      <c r="GA4" s="294"/>
      <c r="GB4" s="294"/>
      <c r="GC4" s="294"/>
      <c r="GD4" s="294"/>
      <c r="GE4" s="294"/>
      <c r="GF4" s="294"/>
      <c r="GG4" s="294"/>
      <c r="GH4" s="294"/>
      <c r="GI4" s="294"/>
      <c r="GJ4" s="294"/>
      <c r="GK4" s="294"/>
      <c r="GL4" s="294"/>
      <c r="GM4" s="294"/>
      <c r="GN4" s="294"/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4"/>
    </row>
    <row r="5" spans="1:207" s="299" customFormat="1">
      <c r="A5" s="1720" t="s">
        <v>901</v>
      </c>
      <c r="B5" s="1721"/>
      <c r="C5" s="687"/>
      <c r="D5" s="679"/>
      <c r="E5" s="628"/>
      <c r="F5" s="628"/>
      <c r="G5" s="628"/>
      <c r="H5" s="628"/>
      <c r="I5" s="1359"/>
      <c r="M5" s="1376"/>
      <c r="P5" s="149"/>
      <c r="Q5" s="149"/>
      <c r="R5" s="149"/>
      <c r="S5" s="149"/>
      <c r="T5" s="149"/>
      <c r="U5" s="149"/>
      <c r="V5" s="149"/>
    </row>
    <row r="6" spans="1:207" s="297" customFormat="1">
      <c r="A6" s="629" t="s">
        <v>6</v>
      </c>
      <c r="B6" s="702" t="s">
        <v>117</v>
      </c>
      <c r="C6" s="630">
        <f t="shared" ref="C6:I6" si="0">SUM(C7:C45)</f>
        <v>5905.3</v>
      </c>
      <c r="D6" s="680">
        <f t="shared" si="0"/>
        <v>329729</v>
      </c>
      <c r="E6" s="18">
        <f t="shared" si="0"/>
        <v>776005</v>
      </c>
      <c r="F6" s="18">
        <f t="shared" si="0"/>
        <v>642882</v>
      </c>
      <c r="G6" s="18">
        <f t="shared" si="0"/>
        <v>63552.02</v>
      </c>
      <c r="H6" s="18">
        <f t="shared" si="0"/>
        <v>2380</v>
      </c>
      <c r="I6" s="1360">
        <f t="shared" si="0"/>
        <v>1612071.1470250303</v>
      </c>
      <c r="J6" s="631"/>
      <c r="K6" s="631"/>
      <c r="L6" s="632">
        <f>SUM(L7:L45)</f>
        <v>59.5</v>
      </c>
      <c r="M6" s="1377"/>
      <c r="N6" s="631"/>
      <c r="O6" s="632">
        <f>SUM(O7:O45)</f>
        <v>61402.480623350864</v>
      </c>
      <c r="P6" s="1436"/>
      <c r="Q6" s="1436"/>
      <c r="R6" s="1436"/>
      <c r="S6" s="1436"/>
      <c r="T6" s="1436"/>
      <c r="U6" s="1436"/>
      <c r="V6" s="1436"/>
    </row>
    <row r="7" spans="1:207" s="302" customFormat="1">
      <c r="A7" s="368" t="s">
        <v>7</v>
      </c>
      <c r="B7" s="703" t="s">
        <v>683</v>
      </c>
      <c r="C7" s="633">
        <v>5905.3</v>
      </c>
      <c r="D7" s="19"/>
      <c r="E7" s="19"/>
      <c r="F7" s="19"/>
      <c r="G7" s="19"/>
      <c r="H7" s="19"/>
      <c r="I7" s="1361"/>
      <c r="J7" s="634"/>
      <c r="K7" s="635"/>
      <c r="L7" s="636"/>
      <c r="M7" s="1378"/>
      <c r="N7" s="635"/>
      <c r="O7" s="636"/>
      <c r="P7" s="1437"/>
      <c r="Q7" s="1437"/>
      <c r="R7" s="1437"/>
      <c r="S7" s="1437"/>
      <c r="T7" s="1437"/>
      <c r="U7" s="1437"/>
      <c r="V7" s="1437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1"/>
      <c r="CT7" s="301"/>
      <c r="CU7" s="301"/>
      <c r="CV7" s="301"/>
      <c r="CW7" s="301"/>
      <c r="CX7" s="301"/>
      <c r="CY7" s="301"/>
      <c r="CZ7" s="301"/>
      <c r="DA7" s="301"/>
      <c r="DB7" s="301"/>
      <c r="DC7" s="301"/>
      <c r="DD7" s="301"/>
      <c r="DE7" s="301"/>
      <c r="DF7" s="301"/>
      <c r="DG7" s="301"/>
      <c r="DH7" s="301"/>
      <c r="DI7" s="301"/>
      <c r="DJ7" s="301"/>
      <c r="DK7" s="301"/>
      <c r="DL7" s="301"/>
      <c r="DM7" s="301"/>
      <c r="DN7" s="301"/>
      <c r="DO7" s="301"/>
      <c r="DP7" s="301"/>
      <c r="DQ7" s="301"/>
      <c r="DR7" s="301"/>
      <c r="DS7" s="301"/>
      <c r="DT7" s="301"/>
      <c r="DU7" s="301"/>
      <c r="DV7" s="301"/>
      <c r="DW7" s="301"/>
      <c r="DX7" s="301"/>
      <c r="DY7" s="301"/>
      <c r="DZ7" s="301"/>
      <c r="EA7" s="301"/>
      <c r="EB7" s="301"/>
      <c r="EC7" s="301"/>
      <c r="ED7" s="301"/>
      <c r="EE7" s="301"/>
      <c r="EF7" s="301"/>
      <c r="EG7" s="301"/>
      <c r="EH7" s="301"/>
      <c r="EI7" s="301"/>
      <c r="EJ7" s="301"/>
      <c r="EK7" s="301"/>
      <c r="EL7" s="301"/>
      <c r="EM7" s="301"/>
      <c r="EN7" s="301"/>
      <c r="EO7" s="301"/>
      <c r="EP7" s="301"/>
      <c r="EQ7" s="301"/>
      <c r="ER7" s="301"/>
      <c r="ES7" s="301"/>
      <c r="ET7" s="301"/>
      <c r="EU7" s="301"/>
      <c r="EV7" s="301"/>
      <c r="EW7" s="301"/>
      <c r="EX7" s="301"/>
      <c r="EY7" s="301"/>
      <c r="EZ7" s="301"/>
      <c r="FA7" s="301"/>
      <c r="FB7" s="301"/>
      <c r="FC7" s="301"/>
      <c r="FD7" s="301"/>
      <c r="FE7" s="301"/>
      <c r="FF7" s="301"/>
      <c r="FG7" s="301"/>
      <c r="FH7" s="301"/>
      <c r="FI7" s="301"/>
      <c r="FJ7" s="301"/>
      <c r="FK7" s="301"/>
      <c r="FL7" s="301"/>
      <c r="FM7" s="301"/>
      <c r="FN7" s="301"/>
      <c r="FO7" s="301"/>
      <c r="FP7" s="301"/>
      <c r="FQ7" s="301"/>
      <c r="FR7" s="301"/>
      <c r="FS7" s="301"/>
      <c r="FT7" s="301"/>
      <c r="FU7" s="301"/>
      <c r="FV7" s="301"/>
      <c r="FW7" s="301"/>
      <c r="FX7" s="301"/>
      <c r="FY7" s="301"/>
      <c r="FZ7" s="301"/>
      <c r="GA7" s="301"/>
      <c r="GB7" s="301"/>
      <c r="GC7" s="301"/>
      <c r="GD7" s="301"/>
      <c r="GE7" s="301"/>
      <c r="GF7" s="301"/>
      <c r="GG7" s="301"/>
      <c r="GH7" s="301"/>
      <c r="GI7" s="301"/>
      <c r="GJ7" s="301"/>
      <c r="GK7" s="301"/>
      <c r="GL7" s="301"/>
      <c r="GM7" s="301"/>
      <c r="GN7" s="301"/>
      <c r="GO7" s="301"/>
      <c r="GP7" s="301"/>
      <c r="GQ7" s="301"/>
      <c r="GR7" s="301"/>
      <c r="GS7" s="301"/>
      <c r="GT7" s="301"/>
      <c r="GU7" s="301"/>
      <c r="GV7" s="301"/>
      <c r="GW7" s="301"/>
      <c r="GX7" s="301"/>
      <c r="GY7" s="301"/>
    </row>
    <row r="8" spans="1:207" s="302" customFormat="1">
      <c r="A8" s="368" t="s">
        <v>13</v>
      </c>
      <c r="B8" s="703" t="s">
        <v>636</v>
      </c>
      <c r="C8" s="633"/>
      <c r="D8" s="19">
        <v>50975</v>
      </c>
      <c r="E8" s="19"/>
      <c r="F8" s="19"/>
      <c r="G8" s="19"/>
      <c r="H8" s="19"/>
      <c r="I8" s="1361"/>
      <c r="J8" s="634"/>
      <c r="K8" s="635"/>
      <c r="L8" s="636"/>
      <c r="M8" s="1378"/>
      <c r="N8" s="635"/>
      <c r="O8" s="636"/>
      <c r="P8" s="1437"/>
      <c r="Q8" s="1437"/>
      <c r="R8" s="1437"/>
      <c r="S8" s="1437"/>
      <c r="T8" s="1437"/>
      <c r="U8" s="1437"/>
      <c r="V8" s="1437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1"/>
      <c r="CC8" s="301"/>
      <c r="CD8" s="301"/>
      <c r="CE8" s="301"/>
      <c r="CF8" s="301"/>
      <c r="CG8" s="301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1"/>
      <c r="CT8" s="301"/>
      <c r="CU8" s="301"/>
      <c r="CV8" s="301"/>
      <c r="CW8" s="301"/>
      <c r="CX8" s="301"/>
      <c r="CY8" s="301"/>
      <c r="CZ8" s="301"/>
      <c r="DA8" s="301"/>
      <c r="DB8" s="301"/>
      <c r="DC8" s="301"/>
      <c r="DD8" s="301"/>
      <c r="DE8" s="301"/>
      <c r="DF8" s="301"/>
      <c r="DG8" s="301"/>
      <c r="DH8" s="301"/>
      <c r="DI8" s="301"/>
      <c r="DJ8" s="301"/>
      <c r="DK8" s="301"/>
      <c r="DL8" s="301"/>
      <c r="DM8" s="301"/>
      <c r="DN8" s="301"/>
      <c r="DO8" s="301"/>
      <c r="DP8" s="301"/>
      <c r="DQ8" s="301"/>
      <c r="DR8" s="301"/>
      <c r="DS8" s="301"/>
      <c r="DT8" s="301"/>
      <c r="DU8" s="301"/>
      <c r="DV8" s="301"/>
      <c r="DW8" s="301"/>
      <c r="DX8" s="301"/>
      <c r="DY8" s="301"/>
      <c r="DZ8" s="301"/>
      <c r="EA8" s="301"/>
      <c r="EB8" s="301"/>
      <c r="EC8" s="301"/>
      <c r="ED8" s="301"/>
      <c r="EE8" s="301"/>
      <c r="EF8" s="301"/>
      <c r="EG8" s="301"/>
      <c r="EH8" s="301"/>
      <c r="EI8" s="30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  <c r="FF8" s="301"/>
      <c r="FG8" s="301"/>
      <c r="FH8" s="301"/>
      <c r="FI8" s="301"/>
      <c r="FJ8" s="301"/>
      <c r="FK8" s="301"/>
      <c r="FL8" s="301"/>
      <c r="FM8" s="301"/>
      <c r="FN8" s="301"/>
      <c r="FO8" s="301"/>
      <c r="FP8" s="301"/>
      <c r="FQ8" s="301"/>
      <c r="FR8" s="301"/>
      <c r="FS8" s="301"/>
      <c r="FT8" s="301"/>
      <c r="FU8" s="301"/>
      <c r="FV8" s="301"/>
      <c r="FW8" s="301"/>
      <c r="FX8" s="301"/>
      <c r="FY8" s="301"/>
      <c r="FZ8" s="301"/>
      <c r="GA8" s="301"/>
      <c r="GB8" s="301"/>
      <c r="GC8" s="301"/>
      <c r="GD8" s="30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</row>
    <row r="9" spans="1:207" s="302" customFormat="1">
      <c r="A9" s="368" t="s">
        <v>902</v>
      </c>
      <c r="B9" s="703" t="s">
        <v>681</v>
      </c>
      <c r="C9" s="633"/>
      <c r="D9" s="19">
        <v>6451</v>
      </c>
      <c r="E9" s="19"/>
      <c r="F9" s="19"/>
      <c r="G9" s="19"/>
      <c r="H9" s="19"/>
      <c r="I9" s="1361"/>
      <c r="J9" s="634"/>
      <c r="K9" s="635"/>
      <c r="L9" s="636"/>
      <c r="M9" s="1378"/>
      <c r="N9" s="635"/>
      <c r="O9" s="636"/>
      <c r="P9" s="1437"/>
      <c r="Q9" s="1437"/>
      <c r="R9" s="1437"/>
      <c r="S9" s="1437"/>
      <c r="T9" s="1437"/>
      <c r="U9" s="1437"/>
      <c r="V9" s="1437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301"/>
      <c r="AY9" s="301"/>
      <c r="AZ9" s="301"/>
      <c r="BA9" s="301"/>
      <c r="BB9" s="301"/>
      <c r="BC9" s="301"/>
      <c r="BD9" s="301"/>
      <c r="BE9" s="301"/>
      <c r="BF9" s="301"/>
      <c r="BG9" s="301"/>
      <c r="BH9" s="301"/>
      <c r="BI9" s="301"/>
      <c r="BJ9" s="301"/>
      <c r="BK9" s="301"/>
      <c r="BL9" s="301"/>
      <c r="BM9" s="301"/>
      <c r="BN9" s="301"/>
      <c r="BO9" s="301"/>
      <c r="BP9" s="301"/>
      <c r="BQ9" s="301"/>
      <c r="BR9" s="301"/>
      <c r="BS9" s="301"/>
      <c r="BT9" s="301"/>
      <c r="BU9" s="301"/>
      <c r="BV9" s="301"/>
      <c r="BW9" s="301"/>
      <c r="BX9" s="301"/>
      <c r="BY9" s="301"/>
      <c r="BZ9" s="301"/>
      <c r="CA9" s="301"/>
      <c r="CB9" s="301"/>
      <c r="CC9" s="301"/>
      <c r="CD9" s="301"/>
      <c r="CE9" s="301"/>
      <c r="CF9" s="301"/>
      <c r="CG9" s="301"/>
      <c r="CH9" s="301"/>
      <c r="CI9" s="301"/>
      <c r="CJ9" s="301"/>
      <c r="CK9" s="301"/>
      <c r="CL9" s="301"/>
      <c r="CM9" s="301"/>
      <c r="CN9" s="301"/>
      <c r="CO9" s="301"/>
      <c r="CP9" s="301"/>
      <c r="CQ9" s="301"/>
      <c r="CR9" s="301"/>
      <c r="CS9" s="301"/>
      <c r="CT9" s="301"/>
      <c r="CU9" s="301"/>
      <c r="CV9" s="301"/>
      <c r="CW9" s="301"/>
      <c r="CX9" s="301"/>
      <c r="CY9" s="301"/>
      <c r="CZ9" s="301"/>
      <c r="DA9" s="301"/>
      <c r="DB9" s="301"/>
      <c r="DC9" s="301"/>
      <c r="DD9" s="301"/>
      <c r="DE9" s="301"/>
      <c r="DF9" s="301"/>
      <c r="DG9" s="301"/>
      <c r="DH9" s="301"/>
      <c r="DI9" s="301"/>
      <c r="DJ9" s="301"/>
      <c r="DK9" s="301"/>
      <c r="DL9" s="301"/>
      <c r="DM9" s="301"/>
      <c r="DN9" s="301"/>
      <c r="DO9" s="301"/>
      <c r="DP9" s="301"/>
      <c r="DQ9" s="301"/>
      <c r="DR9" s="301"/>
      <c r="DS9" s="301"/>
      <c r="DT9" s="301"/>
      <c r="DU9" s="301"/>
      <c r="DV9" s="301"/>
      <c r="DW9" s="301"/>
      <c r="DX9" s="301"/>
      <c r="DY9" s="301"/>
      <c r="DZ9" s="301"/>
      <c r="EA9" s="301"/>
      <c r="EB9" s="301"/>
      <c r="EC9" s="301"/>
      <c r="ED9" s="301"/>
      <c r="EE9" s="301"/>
      <c r="EF9" s="301"/>
      <c r="EG9" s="301"/>
      <c r="EH9" s="301"/>
      <c r="EI9" s="301"/>
      <c r="EJ9" s="301"/>
      <c r="EK9" s="301"/>
      <c r="EL9" s="301"/>
      <c r="EM9" s="301"/>
      <c r="EN9" s="301"/>
      <c r="EO9" s="301"/>
      <c r="EP9" s="301"/>
      <c r="EQ9" s="301"/>
      <c r="ER9" s="301"/>
      <c r="ES9" s="301"/>
      <c r="ET9" s="301"/>
      <c r="EU9" s="301"/>
      <c r="EV9" s="301"/>
      <c r="EW9" s="301"/>
      <c r="EX9" s="301"/>
      <c r="EY9" s="301"/>
      <c r="EZ9" s="301"/>
      <c r="FA9" s="301"/>
      <c r="FB9" s="301"/>
      <c r="FC9" s="301"/>
      <c r="FD9" s="301"/>
      <c r="FE9" s="301"/>
      <c r="FF9" s="301"/>
      <c r="FG9" s="301"/>
      <c r="FH9" s="301"/>
      <c r="FI9" s="301"/>
      <c r="FJ9" s="301"/>
      <c r="FK9" s="301"/>
      <c r="FL9" s="301"/>
      <c r="FM9" s="301"/>
      <c r="FN9" s="301"/>
      <c r="FO9" s="301"/>
      <c r="FP9" s="301"/>
      <c r="FQ9" s="301"/>
      <c r="FR9" s="301"/>
      <c r="FS9" s="301"/>
      <c r="FT9" s="301"/>
      <c r="FU9" s="301"/>
      <c r="FV9" s="301"/>
      <c r="FW9" s="301"/>
      <c r="FX9" s="301"/>
      <c r="FY9" s="301"/>
      <c r="FZ9" s="301"/>
      <c r="GA9" s="301"/>
      <c r="GB9" s="301"/>
      <c r="GC9" s="301"/>
      <c r="GD9" s="301"/>
      <c r="GE9" s="301"/>
      <c r="GF9" s="301"/>
      <c r="GG9" s="301"/>
      <c r="GH9" s="301"/>
      <c r="GI9" s="301"/>
      <c r="GJ9" s="301"/>
      <c r="GK9" s="301"/>
      <c r="GL9" s="301"/>
      <c r="GM9" s="301"/>
      <c r="GN9" s="301"/>
      <c r="GO9" s="301"/>
      <c r="GP9" s="301"/>
      <c r="GQ9" s="301"/>
      <c r="GR9" s="301"/>
      <c r="GS9" s="301"/>
      <c r="GT9" s="301"/>
      <c r="GU9" s="301"/>
      <c r="GV9" s="301"/>
      <c r="GW9" s="301"/>
      <c r="GX9" s="301"/>
      <c r="GY9" s="301"/>
    </row>
    <row r="10" spans="1:207" s="302" customFormat="1">
      <c r="A10" s="368" t="s">
        <v>903</v>
      </c>
      <c r="B10" s="703" t="s">
        <v>734</v>
      </c>
      <c r="C10" s="633"/>
      <c r="D10" s="19">
        <v>6600</v>
      </c>
      <c r="E10" s="19"/>
      <c r="F10" s="19"/>
      <c r="G10" s="19"/>
      <c r="H10" s="19"/>
      <c r="I10" s="1361"/>
      <c r="J10" s="301"/>
      <c r="K10" s="301"/>
      <c r="L10" s="301"/>
      <c r="M10" s="1379"/>
      <c r="N10" s="301"/>
      <c r="O10" s="301"/>
      <c r="P10" s="1437"/>
      <c r="Q10" s="1437"/>
      <c r="R10" s="1437"/>
      <c r="S10" s="1437"/>
      <c r="T10" s="1437"/>
      <c r="U10" s="1437"/>
      <c r="V10" s="1437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M10" s="301"/>
      <c r="AN10" s="301"/>
      <c r="AO10" s="301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1"/>
      <c r="BF10" s="301"/>
      <c r="BG10" s="301"/>
      <c r="BH10" s="301"/>
      <c r="BI10" s="301"/>
      <c r="BJ10" s="301"/>
      <c r="BK10" s="301"/>
      <c r="BL10" s="301"/>
      <c r="BM10" s="301"/>
      <c r="BN10" s="301"/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1"/>
      <c r="CC10" s="301"/>
      <c r="CD10" s="301"/>
      <c r="CE10" s="301"/>
      <c r="CF10" s="301"/>
      <c r="CG10" s="301"/>
      <c r="CH10" s="301"/>
      <c r="CI10" s="301"/>
      <c r="CJ10" s="301"/>
      <c r="CK10" s="301"/>
      <c r="CL10" s="301"/>
      <c r="CM10" s="301"/>
      <c r="CN10" s="301"/>
      <c r="CO10" s="301"/>
      <c r="CP10" s="301"/>
      <c r="CQ10" s="301"/>
      <c r="CR10" s="301"/>
      <c r="CS10" s="301"/>
      <c r="CT10" s="301"/>
      <c r="CU10" s="301"/>
      <c r="CV10" s="301"/>
      <c r="CW10" s="301"/>
      <c r="CX10" s="301"/>
      <c r="CY10" s="301"/>
      <c r="CZ10" s="301"/>
      <c r="DA10" s="301"/>
      <c r="DB10" s="301"/>
      <c r="DC10" s="301"/>
      <c r="DD10" s="301"/>
      <c r="DE10" s="301"/>
      <c r="DF10" s="301"/>
      <c r="DG10" s="301"/>
      <c r="DH10" s="301"/>
      <c r="DI10" s="301"/>
      <c r="DJ10" s="301"/>
      <c r="DK10" s="301"/>
      <c r="DL10" s="301"/>
      <c r="DM10" s="301"/>
      <c r="DN10" s="301"/>
      <c r="DO10" s="301"/>
      <c r="DP10" s="301"/>
      <c r="DQ10" s="301"/>
      <c r="DR10" s="301"/>
      <c r="DS10" s="301"/>
      <c r="DT10" s="301"/>
      <c r="DU10" s="301"/>
      <c r="DV10" s="301"/>
      <c r="DW10" s="301"/>
      <c r="DX10" s="301"/>
      <c r="DY10" s="301"/>
      <c r="DZ10" s="301"/>
      <c r="EA10" s="301"/>
      <c r="EB10" s="301"/>
      <c r="EC10" s="301"/>
      <c r="ED10" s="301"/>
      <c r="EE10" s="301"/>
      <c r="EF10" s="301"/>
      <c r="EG10" s="301"/>
      <c r="EH10" s="301"/>
      <c r="EI10" s="301"/>
      <c r="EJ10" s="301"/>
      <c r="EK10" s="301"/>
      <c r="EL10" s="301"/>
      <c r="EM10" s="301"/>
      <c r="EN10" s="301"/>
      <c r="EO10" s="301"/>
      <c r="EP10" s="301"/>
      <c r="EQ10" s="301"/>
      <c r="ER10" s="301"/>
      <c r="ES10" s="301"/>
      <c r="ET10" s="301"/>
      <c r="EU10" s="301"/>
      <c r="EV10" s="301"/>
      <c r="EW10" s="301"/>
      <c r="EX10" s="301"/>
      <c r="EY10" s="301"/>
      <c r="EZ10" s="301"/>
      <c r="FA10" s="301"/>
      <c r="FB10" s="301"/>
      <c r="FC10" s="301"/>
      <c r="FD10" s="301"/>
      <c r="FE10" s="301"/>
      <c r="FF10" s="301"/>
      <c r="FG10" s="301"/>
      <c r="FH10" s="301"/>
      <c r="FI10" s="301"/>
      <c r="FJ10" s="301"/>
      <c r="FK10" s="301"/>
      <c r="FL10" s="301"/>
      <c r="FM10" s="301"/>
      <c r="FN10" s="301"/>
      <c r="FO10" s="301"/>
      <c r="FP10" s="301"/>
      <c r="FQ10" s="301"/>
      <c r="FR10" s="301"/>
      <c r="FS10" s="301"/>
      <c r="FT10" s="301"/>
      <c r="FU10" s="301"/>
      <c r="FV10" s="301"/>
      <c r="FW10" s="301"/>
      <c r="FX10" s="301"/>
      <c r="FY10" s="301"/>
      <c r="FZ10" s="301"/>
      <c r="GA10" s="301"/>
      <c r="GB10" s="301"/>
      <c r="GC10" s="301"/>
      <c r="GD10" s="301"/>
      <c r="GE10" s="301"/>
      <c r="GF10" s="301"/>
      <c r="GG10" s="301"/>
      <c r="GH10" s="301"/>
      <c r="GI10" s="301"/>
      <c r="GJ10" s="301"/>
      <c r="GK10" s="301"/>
      <c r="GL10" s="301"/>
      <c r="GM10" s="301"/>
      <c r="GN10" s="301"/>
      <c r="GO10" s="301"/>
      <c r="GP10" s="301"/>
      <c r="GQ10" s="301"/>
      <c r="GR10" s="301"/>
      <c r="GS10" s="301"/>
      <c r="GT10" s="301"/>
      <c r="GU10" s="301"/>
      <c r="GV10" s="301"/>
      <c r="GW10" s="301"/>
      <c r="GX10" s="301"/>
      <c r="GY10" s="301"/>
    </row>
    <row r="11" spans="1:207" s="302" customFormat="1">
      <c r="A11" s="368" t="s">
        <v>904</v>
      </c>
      <c r="B11" s="701" t="s">
        <v>638</v>
      </c>
      <c r="C11" s="633"/>
      <c r="D11" s="19"/>
      <c r="E11" s="19"/>
      <c r="F11" s="19">
        <v>185061</v>
      </c>
      <c r="G11" s="19"/>
      <c r="H11" s="19"/>
      <c r="I11" s="1361"/>
      <c r="J11" s="301"/>
      <c r="K11" s="301"/>
      <c r="L11" s="301"/>
      <c r="M11" s="1379"/>
      <c r="N11" s="301"/>
      <c r="O11" s="301"/>
      <c r="P11" s="1437"/>
      <c r="Q11" s="1437"/>
      <c r="R11" s="1437"/>
      <c r="S11" s="1437"/>
      <c r="T11" s="1437"/>
      <c r="U11" s="1437"/>
      <c r="V11" s="1437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  <c r="BC11" s="301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  <c r="BN11" s="301"/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1"/>
      <c r="CC11" s="301"/>
      <c r="CD11" s="301"/>
      <c r="CE11" s="301"/>
      <c r="CF11" s="301"/>
      <c r="CG11" s="301"/>
      <c r="CH11" s="301"/>
      <c r="CI11" s="301"/>
      <c r="CJ11" s="301"/>
      <c r="CK11" s="301"/>
      <c r="CL11" s="301"/>
      <c r="CM11" s="301"/>
      <c r="CN11" s="301"/>
      <c r="CO11" s="301"/>
      <c r="CP11" s="301"/>
      <c r="CQ11" s="301"/>
      <c r="CR11" s="301"/>
      <c r="CS11" s="301"/>
      <c r="CT11" s="301"/>
      <c r="CU11" s="301"/>
      <c r="CV11" s="301"/>
      <c r="CW11" s="301"/>
      <c r="CX11" s="301"/>
      <c r="CY11" s="301"/>
      <c r="CZ11" s="301"/>
      <c r="DA11" s="301"/>
      <c r="DB11" s="301"/>
      <c r="DC11" s="301"/>
      <c r="DD11" s="301"/>
      <c r="DE11" s="301"/>
      <c r="DF11" s="301"/>
      <c r="DG11" s="301"/>
      <c r="DH11" s="301"/>
      <c r="DI11" s="301"/>
      <c r="DJ11" s="301"/>
      <c r="DK11" s="301"/>
      <c r="DL11" s="301"/>
      <c r="DM11" s="301"/>
      <c r="DN11" s="301"/>
      <c r="DO11" s="301"/>
      <c r="DP11" s="301"/>
      <c r="DQ11" s="301"/>
      <c r="DR11" s="301"/>
      <c r="DS11" s="301"/>
      <c r="DT11" s="301"/>
      <c r="DU11" s="301"/>
      <c r="DV11" s="301"/>
      <c r="DW11" s="301"/>
      <c r="DX11" s="301"/>
      <c r="DY11" s="301"/>
      <c r="DZ11" s="301"/>
      <c r="EA11" s="301"/>
      <c r="EB11" s="301"/>
      <c r="EC11" s="301"/>
      <c r="ED11" s="301"/>
      <c r="EE11" s="301"/>
      <c r="EF11" s="301"/>
      <c r="EG11" s="301"/>
      <c r="EH11" s="301"/>
      <c r="EI11" s="301"/>
      <c r="EJ11" s="301"/>
      <c r="EK11" s="301"/>
      <c r="EL11" s="301"/>
      <c r="EM11" s="301"/>
      <c r="EN11" s="301"/>
      <c r="EO11" s="301"/>
      <c r="EP11" s="301"/>
      <c r="EQ11" s="301"/>
      <c r="ER11" s="301"/>
      <c r="ES11" s="301"/>
      <c r="ET11" s="301"/>
      <c r="EU11" s="301"/>
      <c r="EV11" s="301"/>
      <c r="EW11" s="301"/>
      <c r="EX11" s="301"/>
      <c r="EY11" s="301"/>
      <c r="EZ11" s="301"/>
      <c r="FA11" s="301"/>
      <c r="FB11" s="301"/>
      <c r="FC11" s="301"/>
      <c r="FD11" s="301"/>
      <c r="FE11" s="301"/>
      <c r="FF11" s="301"/>
      <c r="FG11" s="301"/>
      <c r="FH11" s="301"/>
      <c r="FI11" s="301"/>
      <c r="FJ11" s="301"/>
      <c r="FK11" s="301"/>
      <c r="FL11" s="301"/>
      <c r="FM11" s="301"/>
      <c r="FN11" s="301"/>
      <c r="FO11" s="301"/>
      <c r="FP11" s="301"/>
      <c r="FQ11" s="301"/>
      <c r="FR11" s="301"/>
      <c r="FS11" s="301"/>
      <c r="FT11" s="301"/>
      <c r="FU11" s="301"/>
      <c r="FV11" s="301"/>
      <c r="FW11" s="301"/>
      <c r="FX11" s="301"/>
      <c r="FY11" s="301"/>
      <c r="FZ11" s="301"/>
      <c r="GA11" s="301"/>
      <c r="GB11" s="301"/>
      <c r="GC11" s="301"/>
      <c r="GD11" s="301"/>
      <c r="GE11" s="301"/>
      <c r="GF11" s="301"/>
      <c r="GG11" s="301"/>
      <c r="GH11" s="301"/>
      <c r="GI11" s="301"/>
      <c r="GJ11" s="301"/>
      <c r="GK11" s="301"/>
      <c r="GL11" s="301"/>
      <c r="GM11" s="301"/>
      <c r="GN11" s="301"/>
      <c r="GO11" s="301"/>
      <c r="GP11" s="301"/>
      <c r="GQ11" s="301"/>
      <c r="GR11" s="301"/>
      <c r="GS11" s="301"/>
      <c r="GT11" s="301"/>
      <c r="GU11" s="301"/>
      <c r="GV11" s="301"/>
      <c r="GW11" s="301"/>
      <c r="GX11" s="301"/>
      <c r="GY11" s="301"/>
    </row>
    <row r="12" spans="1:207" s="302" customFormat="1">
      <c r="A12" s="368" t="s">
        <v>905</v>
      </c>
      <c r="B12" s="701" t="s">
        <v>690</v>
      </c>
      <c r="C12" s="633"/>
      <c r="D12" s="19"/>
      <c r="E12" s="19"/>
      <c r="F12" s="19">
        <v>78652</v>
      </c>
      <c r="G12" s="19"/>
      <c r="H12" s="19"/>
      <c r="I12" s="1361"/>
      <c r="J12" s="301"/>
      <c r="K12" s="301"/>
      <c r="L12" s="301"/>
      <c r="M12" s="1379"/>
      <c r="N12" s="301"/>
      <c r="O12" s="301"/>
      <c r="P12" s="1437"/>
      <c r="Q12" s="1437"/>
      <c r="R12" s="1437"/>
      <c r="S12" s="1437"/>
      <c r="T12" s="1437"/>
      <c r="U12" s="1437"/>
      <c r="V12" s="1437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301"/>
      <c r="DR12" s="301"/>
      <c r="DS12" s="301"/>
      <c r="DT12" s="301"/>
      <c r="DU12" s="301"/>
      <c r="DV12" s="301"/>
      <c r="DW12" s="301"/>
      <c r="DX12" s="301"/>
      <c r="DY12" s="301"/>
      <c r="DZ12" s="301"/>
      <c r="EA12" s="301"/>
      <c r="EB12" s="301"/>
      <c r="EC12" s="301"/>
      <c r="ED12" s="301"/>
      <c r="EE12" s="301"/>
      <c r="EF12" s="301"/>
      <c r="EG12" s="301"/>
      <c r="EH12" s="301"/>
      <c r="EI12" s="301"/>
      <c r="EJ12" s="301"/>
      <c r="EK12" s="301"/>
      <c r="EL12" s="301"/>
      <c r="EM12" s="301"/>
      <c r="EN12" s="301"/>
      <c r="EO12" s="301"/>
      <c r="EP12" s="301"/>
      <c r="EQ12" s="301"/>
      <c r="ER12" s="301"/>
      <c r="ES12" s="301"/>
      <c r="ET12" s="301"/>
      <c r="EU12" s="301"/>
      <c r="EV12" s="301"/>
      <c r="EW12" s="301"/>
      <c r="EX12" s="301"/>
      <c r="EY12" s="301"/>
      <c r="EZ12" s="301"/>
      <c r="FA12" s="301"/>
      <c r="FB12" s="301"/>
      <c r="FC12" s="301"/>
      <c r="FD12" s="301"/>
      <c r="FE12" s="301"/>
      <c r="FF12" s="301"/>
      <c r="FG12" s="301"/>
      <c r="FH12" s="301"/>
      <c r="FI12" s="301"/>
      <c r="FJ12" s="301"/>
      <c r="FK12" s="301"/>
      <c r="FL12" s="301"/>
      <c r="FM12" s="301"/>
      <c r="FN12" s="301"/>
      <c r="FO12" s="301"/>
      <c r="FP12" s="301"/>
      <c r="FQ12" s="301"/>
      <c r="FR12" s="301"/>
      <c r="FS12" s="301"/>
      <c r="FT12" s="301"/>
      <c r="FU12" s="301"/>
      <c r="FV12" s="301"/>
      <c r="FW12" s="301"/>
      <c r="FX12" s="301"/>
      <c r="FY12" s="301"/>
      <c r="FZ12" s="301"/>
      <c r="GA12" s="301"/>
      <c r="GB12" s="301"/>
      <c r="GC12" s="301"/>
      <c r="GD12" s="301"/>
      <c r="GE12" s="301"/>
      <c r="GF12" s="301"/>
      <c r="GG12" s="301"/>
      <c r="GH12" s="301"/>
      <c r="GI12" s="301"/>
      <c r="GJ12" s="301"/>
      <c r="GK12" s="301"/>
      <c r="GL12" s="301"/>
      <c r="GM12" s="301"/>
      <c r="GN12" s="301"/>
      <c r="GO12" s="301"/>
      <c r="GP12" s="301"/>
      <c r="GQ12" s="301"/>
      <c r="GR12" s="301"/>
      <c r="GS12" s="301"/>
      <c r="GT12" s="301"/>
      <c r="GU12" s="301"/>
      <c r="GV12" s="301"/>
      <c r="GW12" s="301"/>
      <c r="GX12" s="301"/>
      <c r="GY12" s="301"/>
    </row>
    <row r="13" spans="1:207" s="302" customFormat="1">
      <c r="A13" s="368" t="s">
        <v>906</v>
      </c>
      <c r="B13" s="701" t="s">
        <v>691</v>
      </c>
      <c r="C13" s="633"/>
      <c r="D13" s="19"/>
      <c r="E13" s="19"/>
      <c r="F13" s="19">
        <v>35375</v>
      </c>
      <c r="G13" s="19"/>
      <c r="H13" s="19"/>
      <c r="I13" s="1361"/>
      <c r="J13" s="634"/>
      <c r="K13" s="635"/>
      <c r="L13" s="636"/>
      <c r="M13" s="1378"/>
      <c r="N13" s="635"/>
      <c r="O13" s="636"/>
      <c r="P13" s="1437"/>
      <c r="Q13" s="1437"/>
      <c r="R13" s="1437"/>
      <c r="S13" s="1437"/>
      <c r="T13" s="1437"/>
      <c r="U13" s="1437"/>
      <c r="V13" s="1437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1"/>
      <c r="CC13" s="301"/>
      <c r="CD13" s="301"/>
      <c r="CE13" s="301"/>
      <c r="CF13" s="301"/>
      <c r="CG13" s="301"/>
      <c r="CH13" s="301"/>
      <c r="CI13" s="301"/>
      <c r="CJ13" s="301"/>
      <c r="CK13" s="301"/>
      <c r="CL13" s="301"/>
      <c r="CM13" s="301"/>
      <c r="CN13" s="301"/>
      <c r="CO13" s="301"/>
      <c r="CP13" s="301"/>
      <c r="CQ13" s="301"/>
      <c r="CR13" s="301"/>
      <c r="CS13" s="301"/>
      <c r="CT13" s="301"/>
      <c r="CU13" s="301"/>
      <c r="CV13" s="301"/>
      <c r="CW13" s="301"/>
      <c r="CX13" s="301"/>
      <c r="CY13" s="301"/>
      <c r="CZ13" s="301"/>
      <c r="DA13" s="301"/>
      <c r="DB13" s="301"/>
      <c r="DC13" s="301"/>
      <c r="DD13" s="301"/>
      <c r="DE13" s="301"/>
      <c r="DF13" s="301"/>
      <c r="DG13" s="301"/>
      <c r="DH13" s="301"/>
      <c r="DI13" s="301"/>
      <c r="DJ13" s="301"/>
      <c r="DK13" s="301"/>
      <c r="DL13" s="301"/>
      <c r="DM13" s="301"/>
      <c r="DN13" s="301"/>
      <c r="DO13" s="301"/>
      <c r="DP13" s="301"/>
      <c r="DQ13" s="301"/>
      <c r="DR13" s="301"/>
      <c r="DS13" s="301"/>
      <c r="DT13" s="301"/>
      <c r="DU13" s="301"/>
      <c r="DV13" s="301"/>
      <c r="DW13" s="301"/>
      <c r="DX13" s="301"/>
      <c r="DY13" s="301"/>
      <c r="DZ13" s="301"/>
      <c r="EA13" s="301"/>
      <c r="EB13" s="301"/>
      <c r="EC13" s="301"/>
      <c r="ED13" s="301"/>
      <c r="EE13" s="301"/>
      <c r="EF13" s="301"/>
      <c r="EG13" s="301"/>
      <c r="EH13" s="301"/>
      <c r="EI13" s="301"/>
      <c r="EJ13" s="301"/>
      <c r="EK13" s="301"/>
      <c r="EL13" s="301"/>
      <c r="EM13" s="301"/>
      <c r="EN13" s="301"/>
      <c r="EO13" s="301"/>
      <c r="EP13" s="301"/>
      <c r="EQ13" s="301"/>
      <c r="ER13" s="301"/>
      <c r="ES13" s="301"/>
      <c r="ET13" s="301"/>
      <c r="EU13" s="301"/>
      <c r="EV13" s="301"/>
      <c r="EW13" s="301"/>
      <c r="EX13" s="301"/>
      <c r="EY13" s="301"/>
      <c r="EZ13" s="301"/>
      <c r="FA13" s="301"/>
      <c r="FB13" s="301"/>
      <c r="FC13" s="301"/>
      <c r="FD13" s="301"/>
      <c r="FE13" s="301"/>
      <c r="FF13" s="301"/>
      <c r="FG13" s="301"/>
      <c r="FH13" s="301"/>
      <c r="FI13" s="301"/>
      <c r="FJ13" s="301"/>
      <c r="FK13" s="301"/>
      <c r="FL13" s="301"/>
      <c r="FM13" s="301"/>
      <c r="FN13" s="301"/>
      <c r="FO13" s="301"/>
      <c r="FP13" s="301"/>
      <c r="FQ13" s="301"/>
      <c r="FR13" s="301"/>
      <c r="FS13" s="301"/>
      <c r="FT13" s="301"/>
      <c r="FU13" s="301"/>
      <c r="FV13" s="301"/>
      <c r="FW13" s="301"/>
      <c r="FX13" s="301"/>
      <c r="FY13" s="301"/>
      <c r="FZ13" s="301"/>
      <c r="GA13" s="301"/>
      <c r="GB13" s="301"/>
      <c r="GC13" s="301"/>
      <c r="GD13" s="301"/>
      <c r="GE13" s="301"/>
      <c r="GF13" s="301"/>
      <c r="GG13" s="301"/>
      <c r="GH13" s="301"/>
      <c r="GI13" s="301"/>
      <c r="GJ13" s="301"/>
      <c r="GK13" s="301"/>
      <c r="GL13" s="301"/>
      <c r="GM13" s="301"/>
      <c r="GN13" s="301"/>
      <c r="GO13" s="301"/>
      <c r="GP13" s="301"/>
      <c r="GQ13" s="301"/>
      <c r="GR13" s="301"/>
      <c r="GS13" s="301"/>
      <c r="GT13" s="301"/>
      <c r="GU13" s="301"/>
      <c r="GV13" s="301"/>
      <c r="GW13" s="301"/>
      <c r="GX13" s="301"/>
      <c r="GY13" s="301"/>
    </row>
    <row r="14" spans="1:207" s="302" customFormat="1">
      <c r="A14" s="368" t="s">
        <v>907</v>
      </c>
      <c r="B14" s="701" t="s">
        <v>689</v>
      </c>
      <c r="C14" s="633"/>
      <c r="D14" s="19"/>
      <c r="E14" s="19"/>
      <c r="F14" s="19">
        <v>251817</v>
      </c>
      <c r="G14" s="19"/>
      <c r="H14" s="19"/>
      <c r="I14" s="1361"/>
      <c r="J14" s="634"/>
      <c r="K14" s="635"/>
      <c r="L14" s="636"/>
      <c r="M14" s="1378"/>
      <c r="N14" s="635"/>
      <c r="O14" s="636"/>
      <c r="P14" s="1437"/>
      <c r="Q14" s="1437"/>
      <c r="R14" s="1437"/>
      <c r="S14" s="1437"/>
      <c r="T14" s="1437"/>
      <c r="U14" s="1437"/>
      <c r="V14" s="1437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01"/>
      <c r="CG14" s="301"/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1"/>
      <c r="CY14" s="301"/>
      <c r="CZ14" s="301"/>
      <c r="DA14" s="301"/>
      <c r="DB14" s="301"/>
      <c r="DC14" s="301"/>
      <c r="DD14" s="301"/>
      <c r="DE14" s="301"/>
      <c r="DF14" s="301"/>
      <c r="DG14" s="301"/>
      <c r="DH14" s="301"/>
      <c r="DI14" s="301"/>
      <c r="DJ14" s="301"/>
      <c r="DK14" s="301"/>
      <c r="DL14" s="301"/>
      <c r="DM14" s="301"/>
      <c r="DN14" s="301"/>
      <c r="DO14" s="301"/>
      <c r="DP14" s="301"/>
      <c r="DQ14" s="301"/>
      <c r="DR14" s="301"/>
      <c r="DS14" s="301"/>
      <c r="DT14" s="301"/>
      <c r="DU14" s="301"/>
      <c r="DV14" s="301"/>
      <c r="DW14" s="301"/>
      <c r="DX14" s="301"/>
      <c r="DY14" s="301"/>
      <c r="DZ14" s="301"/>
      <c r="EA14" s="301"/>
      <c r="EB14" s="301"/>
      <c r="EC14" s="301"/>
      <c r="ED14" s="301"/>
      <c r="EE14" s="301"/>
      <c r="EF14" s="301"/>
      <c r="EG14" s="301"/>
      <c r="EH14" s="301"/>
      <c r="EI14" s="301"/>
      <c r="EJ14" s="301"/>
      <c r="EK14" s="301"/>
      <c r="EL14" s="301"/>
      <c r="EM14" s="301"/>
      <c r="EN14" s="301"/>
      <c r="EO14" s="301"/>
      <c r="EP14" s="301"/>
      <c r="EQ14" s="301"/>
      <c r="ER14" s="301"/>
      <c r="ES14" s="301"/>
      <c r="ET14" s="301"/>
      <c r="EU14" s="301"/>
      <c r="EV14" s="301"/>
      <c r="EW14" s="301"/>
      <c r="EX14" s="301"/>
      <c r="EY14" s="301"/>
      <c r="EZ14" s="301"/>
      <c r="FA14" s="301"/>
      <c r="FB14" s="301"/>
      <c r="FC14" s="301"/>
      <c r="FD14" s="301"/>
      <c r="FE14" s="301"/>
      <c r="FF14" s="301"/>
      <c r="FG14" s="301"/>
      <c r="FH14" s="301"/>
      <c r="FI14" s="301"/>
      <c r="FJ14" s="301"/>
      <c r="FK14" s="301"/>
      <c r="FL14" s="301"/>
      <c r="FM14" s="301"/>
      <c r="FN14" s="301"/>
      <c r="FO14" s="301"/>
      <c r="FP14" s="301"/>
      <c r="FQ14" s="301"/>
      <c r="FR14" s="301"/>
      <c r="FS14" s="301"/>
      <c r="FT14" s="301"/>
      <c r="FU14" s="301"/>
      <c r="FV14" s="301"/>
      <c r="FW14" s="301"/>
      <c r="FX14" s="301"/>
      <c r="FY14" s="301"/>
      <c r="FZ14" s="301"/>
      <c r="GA14" s="301"/>
      <c r="GB14" s="301"/>
      <c r="GC14" s="301"/>
      <c r="GD14" s="301"/>
      <c r="GE14" s="301"/>
      <c r="GF14" s="301"/>
      <c r="GG14" s="301"/>
      <c r="GH14" s="301"/>
      <c r="GI14" s="301"/>
      <c r="GJ14" s="301"/>
      <c r="GK14" s="301"/>
      <c r="GL14" s="301"/>
      <c r="GM14" s="301"/>
      <c r="GN14" s="301"/>
      <c r="GO14" s="301"/>
      <c r="GP14" s="301"/>
      <c r="GQ14" s="301"/>
      <c r="GR14" s="301"/>
      <c r="GS14" s="301"/>
      <c r="GT14" s="301"/>
      <c r="GU14" s="301"/>
      <c r="GV14" s="301"/>
      <c r="GW14" s="301"/>
      <c r="GX14" s="301"/>
      <c r="GY14" s="301"/>
    </row>
    <row r="15" spans="1:207" s="302" customFormat="1">
      <c r="A15" s="368" t="s">
        <v>908</v>
      </c>
      <c r="B15" s="701" t="s">
        <v>688</v>
      </c>
      <c r="C15" s="633"/>
      <c r="D15" s="19"/>
      <c r="E15" s="19"/>
      <c r="F15" s="19">
        <v>78559</v>
      </c>
      <c r="G15" s="19"/>
      <c r="H15" s="19"/>
      <c r="I15" s="1361"/>
      <c r="J15" s="634"/>
      <c r="K15" s="635"/>
      <c r="L15" s="636"/>
      <c r="M15" s="1378"/>
      <c r="N15" s="635"/>
      <c r="O15" s="636"/>
      <c r="P15" s="1437"/>
      <c r="Q15" s="1437"/>
      <c r="R15" s="1437"/>
      <c r="S15" s="1437"/>
      <c r="T15" s="1437"/>
      <c r="U15" s="1437"/>
      <c r="V15" s="1437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01"/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01"/>
      <c r="DZ15" s="301"/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01"/>
      <c r="EL15" s="301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1"/>
      <c r="EX15" s="301"/>
      <c r="EY15" s="301"/>
      <c r="EZ15" s="301"/>
      <c r="FA15" s="301"/>
      <c r="FB15" s="301"/>
      <c r="FC15" s="301"/>
      <c r="FD15" s="301"/>
      <c r="FE15" s="301"/>
      <c r="FF15" s="301"/>
      <c r="FG15" s="301"/>
      <c r="FH15" s="301"/>
      <c r="FI15" s="301"/>
      <c r="FJ15" s="301"/>
      <c r="FK15" s="301"/>
      <c r="FL15" s="301"/>
      <c r="FM15" s="301"/>
      <c r="FN15" s="301"/>
      <c r="FO15" s="301"/>
      <c r="FP15" s="301"/>
      <c r="FQ15" s="301"/>
      <c r="FR15" s="301"/>
      <c r="FS15" s="301"/>
      <c r="FT15" s="301"/>
      <c r="FU15" s="301"/>
      <c r="FV15" s="301"/>
      <c r="FW15" s="301"/>
      <c r="FX15" s="301"/>
      <c r="FY15" s="301"/>
      <c r="FZ15" s="301"/>
      <c r="GA15" s="301"/>
      <c r="GB15" s="301"/>
      <c r="GC15" s="301"/>
      <c r="GD15" s="301"/>
      <c r="GE15" s="301"/>
      <c r="GF15" s="301"/>
      <c r="GG15" s="301"/>
      <c r="GH15" s="301"/>
      <c r="GI15" s="301"/>
      <c r="GJ15" s="301"/>
      <c r="GK15" s="301"/>
      <c r="GL15" s="301"/>
      <c r="GM15" s="301"/>
      <c r="GN15" s="301"/>
      <c r="GO15" s="301"/>
      <c r="GP15" s="301"/>
      <c r="GQ15" s="301"/>
      <c r="GR15" s="301"/>
      <c r="GS15" s="301"/>
      <c r="GT15" s="301"/>
      <c r="GU15" s="301"/>
      <c r="GV15" s="301"/>
      <c r="GW15" s="301"/>
      <c r="GX15" s="301"/>
      <c r="GY15" s="301"/>
    </row>
    <row r="16" spans="1:207" s="302" customFormat="1">
      <c r="A16" s="368" t="s">
        <v>909</v>
      </c>
      <c r="B16" s="701" t="s">
        <v>736</v>
      </c>
      <c r="C16" s="633"/>
      <c r="D16" s="19"/>
      <c r="E16" s="19">
        <v>5381</v>
      </c>
      <c r="F16" s="19"/>
      <c r="G16" s="19"/>
      <c r="H16" s="19"/>
      <c r="I16" s="1361"/>
      <c r="J16" s="634"/>
      <c r="K16" s="635"/>
      <c r="L16" s="636"/>
      <c r="M16" s="1378"/>
      <c r="N16" s="635"/>
      <c r="O16" s="636"/>
      <c r="P16" s="1437"/>
      <c r="Q16" s="1437"/>
      <c r="R16" s="1437"/>
      <c r="S16" s="1437"/>
      <c r="T16" s="1437"/>
      <c r="U16" s="1437"/>
      <c r="V16" s="1437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301"/>
      <c r="BB16" s="301"/>
      <c r="BC16" s="301"/>
      <c r="BD16" s="301"/>
      <c r="BE16" s="301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1"/>
      <c r="CC16" s="301"/>
      <c r="CD16" s="301"/>
      <c r="CE16" s="301"/>
      <c r="CF16" s="301"/>
      <c r="CG16" s="301"/>
      <c r="CH16" s="301"/>
      <c r="CI16" s="301"/>
      <c r="CJ16" s="301"/>
      <c r="CK16" s="301"/>
      <c r="CL16" s="301"/>
      <c r="CM16" s="301"/>
      <c r="CN16" s="301"/>
      <c r="CO16" s="301"/>
      <c r="CP16" s="301"/>
      <c r="CQ16" s="301"/>
      <c r="CR16" s="301"/>
      <c r="CS16" s="301"/>
      <c r="CT16" s="301"/>
      <c r="CU16" s="301"/>
      <c r="CV16" s="301"/>
      <c r="CW16" s="301"/>
      <c r="CX16" s="301"/>
      <c r="CY16" s="301"/>
      <c r="CZ16" s="301"/>
      <c r="DA16" s="301"/>
      <c r="DB16" s="301"/>
      <c r="DC16" s="301"/>
      <c r="DD16" s="301"/>
      <c r="DE16" s="301"/>
      <c r="DF16" s="301"/>
      <c r="DG16" s="301"/>
      <c r="DH16" s="301"/>
      <c r="DI16" s="301"/>
      <c r="DJ16" s="301"/>
      <c r="DK16" s="301"/>
      <c r="DL16" s="301"/>
      <c r="DM16" s="301"/>
      <c r="DN16" s="301"/>
      <c r="DO16" s="301"/>
      <c r="DP16" s="301"/>
      <c r="DQ16" s="301"/>
      <c r="DR16" s="301"/>
      <c r="DS16" s="301"/>
      <c r="DT16" s="301"/>
      <c r="DU16" s="301"/>
      <c r="DV16" s="301"/>
      <c r="DW16" s="301"/>
      <c r="DX16" s="301"/>
      <c r="DY16" s="301"/>
      <c r="DZ16" s="301"/>
      <c r="EA16" s="301"/>
      <c r="EB16" s="301"/>
      <c r="EC16" s="301"/>
      <c r="ED16" s="301"/>
      <c r="EE16" s="301"/>
      <c r="EF16" s="301"/>
      <c r="EG16" s="301"/>
      <c r="EH16" s="301"/>
      <c r="EI16" s="301"/>
      <c r="EJ16" s="301"/>
      <c r="EK16" s="301"/>
      <c r="EL16" s="301"/>
      <c r="EM16" s="301"/>
      <c r="EN16" s="301"/>
      <c r="EO16" s="301"/>
      <c r="EP16" s="301"/>
      <c r="EQ16" s="301"/>
      <c r="ER16" s="301"/>
      <c r="ES16" s="301"/>
      <c r="ET16" s="301"/>
      <c r="EU16" s="301"/>
      <c r="EV16" s="301"/>
      <c r="EW16" s="301"/>
      <c r="EX16" s="301"/>
      <c r="EY16" s="301"/>
      <c r="EZ16" s="301"/>
      <c r="FA16" s="301"/>
      <c r="FB16" s="301"/>
      <c r="FC16" s="301"/>
      <c r="FD16" s="301"/>
      <c r="FE16" s="301"/>
      <c r="FF16" s="301"/>
      <c r="FG16" s="301"/>
      <c r="FH16" s="301"/>
      <c r="FI16" s="301"/>
      <c r="FJ16" s="301"/>
      <c r="FK16" s="301"/>
      <c r="FL16" s="301"/>
      <c r="FM16" s="301"/>
      <c r="FN16" s="301"/>
      <c r="FO16" s="301"/>
      <c r="FP16" s="301"/>
      <c r="FQ16" s="301"/>
      <c r="FR16" s="301"/>
      <c r="FS16" s="301"/>
      <c r="FT16" s="301"/>
      <c r="FU16" s="301"/>
      <c r="FV16" s="301"/>
      <c r="FW16" s="301"/>
      <c r="FX16" s="301"/>
      <c r="FY16" s="301"/>
      <c r="FZ16" s="301"/>
      <c r="GA16" s="301"/>
      <c r="GB16" s="301"/>
      <c r="GC16" s="301"/>
      <c r="GD16" s="301"/>
      <c r="GE16" s="301"/>
      <c r="GF16" s="301"/>
      <c r="GG16" s="301"/>
      <c r="GH16" s="301"/>
      <c r="GI16" s="301"/>
      <c r="GJ16" s="301"/>
      <c r="GK16" s="301"/>
      <c r="GL16" s="301"/>
      <c r="GM16" s="301"/>
      <c r="GN16" s="301"/>
      <c r="GO16" s="301"/>
      <c r="GP16" s="301"/>
      <c r="GQ16" s="301"/>
      <c r="GR16" s="301"/>
      <c r="GS16" s="301"/>
      <c r="GT16" s="301"/>
      <c r="GU16" s="301"/>
      <c r="GV16" s="301"/>
      <c r="GW16" s="301"/>
      <c r="GX16" s="301"/>
      <c r="GY16" s="301"/>
    </row>
    <row r="17" spans="1:207" s="302" customFormat="1">
      <c r="A17" s="368" t="s">
        <v>910</v>
      </c>
      <c r="B17" s="701" t="s">
        <v>789</v>
      </c>
      <c r="C17" s="633"/>
      <c r="D17" s="19"/>
      <c r="E17" s="19"/>
      <c r="F17" s="19">
        <v>6800</v>
      </c>
      <c r="G17" s="19"/>
      <c r="H17" s="19"/>
      <c r="I17" s="1361"/>
      <c r="J17" s="634"/>
      <c r="K17" s="635"/>
      <c r="L17" s="636"/>
      <c r="M17" s="1378"/>
      <c r="N17" s="635"/>
      <c r="O17" s="636"/>
      <c r="P17" s="1437"/>
      <c r="Q17" s="1437"/>
      <c r="R17" s="1437"/>
      <c r="S17" s="1437"/>
      <c r="T17" s="1437"/>
      <c r="U17" s="1437"/>
      <c r="V17" s="1437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301"/>
      <c r="BK17" s="301"/>
      <c r="BL17" s="301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1"/>
      <c r="BZ17" s="301"/>
      <c r="CA17" s="301"/>
      <c r="CB17" s="301"/>
      <c r="CC17" s="301"/>
      <c r="CD17" s="301"/>
      <c r="CE17" s="301"/>
      <c r="CF17" s="301"/>
      <c r="CG17" s="301"/>
      <c r="CH17" s="301"/>
      <c r="CI17" s="301"/>
      <c r="CJ17" s="301"/>
      <c r="CK17" s="301"/>
      <c r="CL17" s="301"/>
      <c r="CM17" s="301"/>
      <c r="CN17" s="301"/>
      <c r="CO17" s="301"/>
      <c r="CP17" s="301"/>
      <c r="CQ17" s="301"/>
      <c r="CR17" s="301"/>
      <c r="CS17" s="301"/>
      <c r="CT17" s="301"/>
      <c r="CU17" s="301"/>
      <c r="CV17" s="301"/>
      <c r="CW17" s="301"/>
      <c r="CX17" s="301"/>
      <c r="CY17" s="301"/>
      <c r="CZ17" s="301"/>
      <c r="DA17" s="301"/>
      <c r="DB17" s="301"/>
      <c r="DC17" s="301"/>
      <c r="DD17" s="301"/>
      <c r="DE17" s="301"/>
      <c r="DF17" s="301"/>
      <c r="DG17" s="301"/>
      <c r="DH17" s="301"/>
      <c r="DI17" s="301"/>
      <c r="DJ17" s="301"/>
      <c r="DK17" s="301"/>
      <c r="DL17" s="301"/>
      <c r="DM17" s="301"/>
      <c r="DN17" s="301"/>
      <c r="DO17" s="301"/>
      <c r="DP17" s="301"/>
      <c r="DQ17" s="301"/>
      <c r="DR17" s="301"/>
      <c r="DS17" s="301"/>
      <c r="DT17" s="301"/>
      <c r="DU17" s="301"/>
      <c r="DV17" s="301"/>
      <c r="DW17" s="301"/>
      <c r="DX17" s="301"/>
      <c r="DY17" s="301"/>
      <c r="DZ17" s="301"/>
      <c r="EA17" s="301"/>
      <c r="EB17" s="301"/>
      <c r="EC17" s="301"/>
      <c r="ED17" s="301"/>
      <c r="EE17" s="301"/>
      <c r="EF17" s="301"/>
      <c r="EG17" s="301"/>
      <c r="EH17" s="301"/>
      <c r="EI17" s="301"/>
      <c r="EJ17" s="301"/>
      <c r="EK17" s="301"/>
      <c r="EL17" s="301"/>
      <c r="EM17" s="301"/>
      <c r="EN17" s="301"/>
      <c r="EO17" s="301"/>
      <c r="EP17" s="301"/>
      <c r="EQ17" s="301"/>
      <c r="ER17" s="301"/>
      <c r="ES17" s="301"/>
      <c r="ET17" s="301"/>
      <c r="EU17" s="301"/>
      <c r="EV17" s="301"/>
      <c r="EW17" s="301"/>
      <c r="EX17" s="301"/>
      <c r="EY17" s="301"/>
      <c r="EZ17" s="301"/>
      <c r="FA17" s="301"/>
      <c r="FB17" s="301"/>
      <c r="FC17" s="301"/>
      <c r="FD17" s="301"/>
      <c r="FE17" s="301"/>
      <c r="FF17" s="301"/>
      <c r="FG17" s="301"/>
      <c r="FH17" s="301"/>
      <c r="FI17" s="301"/>
      <c r="FJ17" s="301"/>
      <c r="FK17" s="301"/>
      <c r="FL17" s="301"/>
      <c r="FM17" s="301"/>
      <c r="FN17" s="301"/>
      <c r="FO17" s="301"/>
      <c r="FP17" s="301"/>
      <c r="FQ17" s="301"/>
      <c r="FR17" s="301"/>
      <c r="FS17" s="301"/>
      <c r="FT17" s="301"/>
      <c r="FU17" s="301"/>
      <c r="FV17" s="301"/>
      <c r="FW17" s="301"/>
      <c r="FX17" s="301"/>
      <c r="FY17" s="301"/>
      <c r="FZ17" s="301"/>
      <c r="GA17" s="301"/>
      <c r="GB17" s="301"/>
      <c r="GC17" s="301"/>
      <c r="GD17" s="301"/>
      <c r="GE17" s="301"/>
      <c r="GF17" s="301"/>
      <c r="GG17" s="301"/>
      <c r="GH17" s="301"/>
      <c r="GI17" s="301"/>
      <c r="GJ17" s="301"/>
      <c r="GK17" s="301"/>
      <c r="GL17" s="301"/>
      <c r="GM17" s="301"/>
      <c r="GN17" s="301"/>
      <c r="GO17" s="301"/>
      <c r="GP17" s="301"/>
      <c r="GQ17" s="301"/>
      <c r="GR17" s="301"/>
      <c r="GS17" s="301"/>
      <c r="GT17" s="301"/>
      <c r="GU17" s="301"/>
      <c r="GV17" s="301"/>
      <c r="GW17" s="301"/>
      <c r="GX17" s="301"/>
      <c r="GY17" s="301"/>
    </row>
    <row r="18" spans="1:207" s="302" customFormat="1">
      <c r="A18" s="368" t="s">
        <v>911</v>
      </c>
      <c r="B18" s="701" t="s">
        <v>737</v>
      </c>
      <c r="C18" s="633"/>
      <c r="D18" s="19"/>
      <c r="E18" s="19">
        <v>5171</v>
      </c>
      <c r="F18" s="19"/>
      <c r="G18" s="19"/>
      <c r="H18" s="19"/>
      <c r="I18" s="1361"/>
      <c r="J18" s="634"/>
      <c r="K18" s="635"/>
      <c r="L18" s="636"/>
      <c r="M18" s="1378"/>
      <c r="N18" s="635"/>
      <c r="O18" s="636"/>
      <c r="P18" s="1437"/>
      <c r="Q18" s="1437"/>
      <c r="R18" s="1437"/>
      <c r="S18" s="1437"/>
      <c r="T18" s="1437"/>
      <c r="U18" s="1437"/>
      <c r="V18" s="1437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301"/>
      <c r="BL18" s="301"/>
      <c r="BM18" s="301"/>
      <c r="BN18" s="301"/>
      <c r="BO18" s="301"/>
      <c r="BP18" s="301"/>
      <c r="BQ18" s="301"/>
      <c r="BR18" s="301"/>
      <c r="BS18" s="301"/>
      <c r="BT18" s="301"/>
      <c r="BU18" s="301"/>
      <c r="BV18" s="301"/>
      <c r="BW18" s="301"/>
      <c r="BX18" s="301"/>
      <c r="BY18" s="301"/>
      <c r="BZ18" s="301"/>
      <c r="CA18" s="301"/>
      <c r="CB18" s="301"/>
      <c r="CC18" s="301"/>
      <c r="CD18" s="301"/>
      <c r="CE18" s="301"/>
      <c r="CF18" s="301"/>
      <c r="CG18" s="301"/>
      <c r="CH18" s="301"/>
      <c r="CI18" s="301"/>
      <c r="CJ18" s="301"/>
      <c r="CK18" s="301"/>
      <c r="CL18" s="301"/>
      <c r="CM18" s="301"/>
      <c r="CN18" s="301"/>
      <c r="CO18" s="301"/>
      <c r="CP18" s="301"/>
      <c r="CQ18" s="301"/>
      <c r="CR18" s="301"/>
      <c r="CS18" s="301"/>
      <c r="CT18" s="301"/>
      <c r="CU18" s="301"/>
      <c r="CV18" s="301"/>
      <c r="CW18" s="301"/>
      <c r="CX18" s="301"/>
      <c r="CY18" s="301"/>
      <c r="CZ18" s="301"/>
      <c r="DA18" s="301"/>
      <c r="DB18" s="301"/>
      <c r="DC18" s="301"/>
      <c r="DD18" s="301"/>
      <c r="DE18" s="301"/>
      <c r="DF18" s="301"/>
      <c r="DG18" s="301"/>
      <c r="DH18" s="301"/>
      <c r="DI18" s="301"/>
      <c r="DJ18" s="301"/>
      <c r="DK18" s="301"/>
      <c r="DL18" s="301"/>
      <c r="DM18" s="301"/>
      <c r="DN18" s="301"/>
      <c r="DO18" s="301"/>
      <c r="DP18" s="301"/>
      <c r="DQ18" s="301"/>
      <c r="DR18" s="301"/>
      <c r="DS18" s="301"/>
      <c r="DT18" s="301"/>
      <c r="DU18" s="301"/>
      <c r="DV18" s="301"/>
      <c r="DW18" s="301"/>
      <c r="DX18" s="301"/>
      <c r="DY18" s="301"/>
      <c r="DZ18" s="301"/>
      <c r="EA18" s="301"/>
      <c r="EB18" s="301"/>
      <c r="EC18" s="301"/>
      <c r="ED18" s="301"/>
      <c r="EE18" s="301"/>
      <c r="EF18" s="301"/>
      <c r="EG18" s="301"/>
      <c r="EH18" s="301"/>
      <c r="EI18" s="301"/>
      <c r="EJ18" s="301"/>
      <c r="EK18" s="301"/>
      <c r="EL18" s="301"/>
      <c r="EM18" s="301"/>
      <c r="EN18" s="301"/>
      <c r="EO18" s="301"/>
      <c r="EP18" s="301"/>
      <c r="EQ18" s="301"/>
      <c r="ER18" s="301"/>
      <c r="ES18" s="301"/>
      <c r="ET18" s="301"/>
      <c r="EU18" s="301"/>
      <c r="EV18" s="301"/>
      <c r="EW18" s="301"/>
      <c r="EX18" s="301"/>
      <c r="EY18" s="301"/>
      <c r="EZ18" s="301"/>
      <c r="FA18" s="301"/>
      <c r="FB18" s="301"/>
      <c r="FC18" s="301"/>
      <c r="FD18" s="301"/>
      <c r="FE18" s="301"/>
      <c r="FF18" s="301"/>
      <c r="FG18" s="301"/>
      <c r="FH18" s="301"/>
      <c r="FI18" s="301"/>
      <c r="FJ18" s="301"/>
      <c r="FK18" s="301"/>
      <c r="FL18" s="301"/>
      <c r="FM18" s="301"/>
      <c r="FN18" s="301"/>
      <c r="FO18" s="301"/>
      <c r="FP18" s="301"/>
      <c r="FQ18" s="301"/>
      <c r="FR18" s="301"/>
      <c r="FS18" s="301"/>
      <c r="FT18" s="301"/>
      <c r="FU18" s="301"/>
      <c r="FV18" s="301"/>
      <c r="FW18" s="301"/>
      <c r="FX18" s="301"/>
      <c r="FY18" s="301"/>
      <c r="FZ18" s="301"/>
      <c r="GA18" s="301"/>
      <c r="GB18" s="301"/>
      <c r="GC18" s="301"/>
      <c r="GD18" s="301"/>
      <c r="GE18" s="301"/>
      <c r="GF18" s="301"/>
      <c r="GG18" s="301"/>
      <c r="GH18" s="301"/>
      <c r="GI18" s="301"/>
      <c r="GJ18" s="301"/>
      <c r="GK18" s="301"/>
      <c r="GL18" s="301"/>
      <c r="GM18" s="301"/>
      <c r="GN18" s="301"/>
      <c r="GO18" s="301"/>
      <c r="GP18" s="301"/>
      <c r="GQ18" s="301"/>
      <c r="GR18" s="301"/>
      <c r="GS18" s="301"/>
      <c r="GT18" s="301"/>
      <c r="GU18" s="301"/>
      <c r="GV18" s="301"/>
      <c r="GW18" s="301"/>
      <c r="GX18" s="301"/>
      <c r="GY18" s="301"/>
    </row>
    <row r="19" spans="1:207" s="302" customFormat="1">
      <c r="A19" s="368" t="s">
        <v>912</v>
      </c>
      <c r="B19" s="701" t="s">
        <v>790</v>
      </c>
      <c r="C19" s="633"/>
      <c r="D19" s="19"/>
      <c r="E19" s="19"/>
      <c r="F19" s="19">
        <v>6618</v>
      </c>
      <c r="G19" s="19"/>
      <c r="H19" s="19"/>
      <c r="I19" s="1361"/>
      <c r="J19" s="634"/>
      <c r="K19" s="635"/>
      <c r="L19" s="636"/>
      <c r="M19" s="1378"/>
      <c r="N19" s="635"/>
      <c r="O19" s="636"/>
      <c r="P19" s="1437"/>
      <c r="Q19" s="1437"/>
      <c r="R19" s="1437"/>
      <c r="S19" s="1437"/>
      <c r="T19" s="1437"/>
      <c r="U19" s="1437"/>
      <c r="V19" s="1437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  <c r="BO19" s="301"/>
      <c r="BP19" s="301"/>
      <c r="BQ19" s="301"/>
      <c r="BR19" s="301"/>
      <c r="BS19" s="301"/>
      <c r="BT19" s="301"/>
      <c r="BU19" s="301"/>
      <c r="BV19" s="301"/>
      <c r="BW19" s="301"/>
      <c r="BX19" s="301"/>
      <c r="BY19" s="301"/>
      <c r="BZ19" s="301"/>
      <c r="CA19" s="301"/>
      <c r="CB19" s="301"/>
      <c r="CC19" s="301"/>
      <c r="CD19" s="301"/>
      <c r="CE19" s="301"/>
      <c r="CF19" s="301"/>
      <c r="CG19" s="301"/>
      <c r="CH19" s="301"/>
      <c r="CI19" s="301"/>
      <c r="CJ19" s="301"/>
      <c r="CK19" s="301"/>
      <c r="CL19" s="301"/>
      <c r="CM19" s="301"/>
      <c r="CN19" s="301"/>
      <c r="CO19" s="301"/>
      <c r="CP19" s="301"/>
      <c r="CQ19" s="301"/>
      <c r="CR19" s="301"/>
      <c r="CS19" s="301"/>
      <c r="CT19" s="301"/>
      <c r="CU19" s="301"/>
      <c r="CV19" s="301"/>
      <c r="CW19" s="301"/>
      <c r="CX19" s="301"/>
      <c r="CY19" s="301"/>
      <c r="CZ19" s="301"/>
      <c r="DA19" s="301"/>
      <c r="DB19" s="301"/>
      <c r="DC19" s="301"/>
      <c r="DD19" s="301"/>
      <c r="DE19" s="301"/>
      <c r="DF19" s="301"/>
      <c r="DG19" s="301"/>
      <c r="DH19" s="301"/>
      <c r="DI19" s="301"/>
      <c r="DJ19" s="301"/>
      <c r="DK19" s="301"/>
      <c r="DL19" s="301"/>
      <c r="DM19" s="301"/>
      <c r="DN19" s="301"/>
      <c r="DO19" s="301"/>
      <c r="DP19" s="301"/>
      <c r="DQ19" s="301"/>
      <c r="DR19" s="301"/>
      <c r="DS19" s="301"/>
      <c r="DT19" s="301"/>
      <c r="DU19" s="301"/>
      <c r="DV19" s="301"/>
      <c r="DW19" s="301"/>
      <c r="DX19" s="301"/>
      <c r="DY19" s="301"/>
      <c r="DZ19" s="301"/>
      <c r="EA19" s="301"/>
      <c r="EB19" s="301"/>
      <c r="EC19" s="301"/>
      <c r="ED19" s="301"/>
      <c r="EE19" s="301"/>
      <c r="EF19" s="301"/>
      <c r="EG19" s="301"/>
      <c r="EH19" s="301"/>
      <c r="EI19" s="301"/>
      <c r="EJ19" s="301"/>
      <c r="EK19" s="301"/>
      <c r="EL19" s="301"/>
      <c r="EM19" s="301"/>
      <c r="EN19" s="301"/>
      <c r="EO19" s="301"/>
      <c r="EP19" s="301"/>
      <c r="EQ19" s="301"/>
      <c r="ER19" s="301"/>
      <c r="ES19" s="301"/>
      <c r="ET19" s="301"/>
      <c r="EU19" s="301"/>
      <c r="EV19" s="301"/>
      <c r="EW19" s="301"/>
      <c r="EX19" s="301"/>
      <c r="EY19" s="301"/>
      <c r="EZ19" s="301"/>
      <c r="FA19" s="301"/>
      <c r="FB19" s="301"/>
      <c r="FC19" s="301"/>
      <c r="FD19" s="301"/>
      <c r="FE19" s="301"/>
      <c r="FF19" s="301"/>
      <c r="FG19" s="301"/>
      <c r="FH19" s="301"/>
      <c r="FI19" s="301"/>
      <c r="FJ19" s="301"/>
      <c r="FK19" s="301"/>
      <c r="FL19" s="301"/>
      <c r="FM19" s="301"/>
      <c r="FN19" s="301"/>
      <c r="FO19" s="301"/>
      <c r="FP19" s="301"/>
      <c r="FQ19" s="301"/>
      <c r="FR19" s="301"/>
      <c r="FS19" s="301"/>
      <c r="FT19" s="301"/>
      <c r="FU19" s="301"/>
      <c r="FV19" s="301"/>
      <c r="FW19" s="301"/>
      <c r="FX19" s="301"/>
      <c r="FY19" s="301"/>
      <c r="FZ19" s="301"/>
      <c r="GA19" s="301"/>
      <c r="GB19" s="301"/>
      <c r="GC19" s="301"/>
      <c r="GD19" s="301"/>
      <c r="GE19" s="301"/>
      <c r="GF19" s="301"/>
      <c r="GG19" s="301"/>
      <c r="GH19" s="301"/>
      <c r="GI19" s="301"/>
      <c r="GJ19" s="301"/>
      <c r="GK19" s="301"/>
      <c r="GL19" s="301"/>
      <c r="GM19" s="301"/>
      <c r="GN19" s="301"/>
      <c r="GO19" s="301"/>
      <c r="GP19" s="301"/>
      <c r="GQ19" s="301"/>
      <c r="GR19" s="301"/>
      <c r="GS19" s="301"/>
      <c r="GT19" s="301"/>
      <c r="GU19" s="301"/>
      <c r="GV19" s="301"/>
      <c r="GW19" s="301"/>
      <c r="GX19" s="301"/>
      <c r="GY19" s="301"/>
    </row>
    <row r="20" spans="1:207" s="302" customFormat="1">
      <c r="A20" s="368" t="s">
        <v>913</v>
      </c>
      <c r="B20" s="424" t="s">
        <v>735</v>
      </c>
      <c r="C20" s="633"/>
      <c r="D20" s="19">
        <v>105113</v>
      </c>
      <c r="E20" s="19"/>
      <c r="F20" s="19"/>
      <c r="G20" s="19"/>
      <c r="H20" s="19"/>
      <c r="I20" s="1361"/>
      <c r="J20" s="634"/>
      <c r="K20" s="635"/>
      <c r="L20" s="636"/>
      <c r="M20" s="1378"/>
      <c r="N20" s="635"/>
      <c r="O20" s="636"/>
      <c r="P20" s="1437"/>
      <c r="Q20" s="1437"/>
      <c r="R20" s="1437"/>
      <c r="S20" s="1437"/>
      <c r="T20" s="1437"/>
      <c r="U20" s="1437"/>
      <c r="V20" s="1437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301"/>
      <c r="BL20" s="301"/>
      <c r="BM20" s="301"/>
      <c r="BN20" s="301"/>
      <c r="BO20" s="301"/>
      <c r="BP20" s="301"/>
      <c r="BQ20" s="301"/>
      <c r="BR20" s="301"/>
      <c r="BS20" s="301"/>
      <c r="BT20" s="301"/>
      <c r="BU20" s="301"/>
      <c r="BV20" s="301"/>
      <c r="BW20" s="301"/>
      <c r="BX20" s="301"/>
      <c r="BY20" s="301"/>
      <c r="BZ20" s="301"/>
      <c r="CA20" s="301"/>
      <c r="CB20" s="301"/>
      <c r="CC20" s="301"/>
      <c r="CD20" s="301"/>
      <c r="CE20" s="301"/>
      <c r="CF20" s="301"/>
      <c r="CG20" s="301"/>
      <c r="CH20" s="301"/>
      <c r="CI20" s="301"/>
      <c r="CJ20" s="301"/>
      <c r="CK20" s="301"/>
      <c r="CL20" s="301"/>
      <c r="CM20" s="301"/>
      <c r="CN20" s="301"/>
      <c r="CO20" s="301"/>
      <c r="CP20" s="301"/>
      <c r="CQ20" s="301"/>
      <c r="CR20" s="301"/>
      <c r="CS20" s="301"/>
      <c r="CT20" s="301"/>
      <c r="CU20" s="301"/>
      <c r="CV20" s="301"/>
      <c r="CW20" s="301"/>
      <c r="CX20" s="301"/>
      <c r="CY20" s="301"/>
      <c r="CZ20" s="301"/>
      <c r="DA20" s="301"/>
      <c r="DB20" s="301"/>
      <c r="DC20" s="301"/>
      <c r="DD20" s="301"/>
      <c r="DE20" s="301"/>
      <c r="DF20" s="301"/>
      <c r="DG20" s="301"/>
      <c r="DH20" s="301"/>
      <c r="DI20" s="301"/>
      <c r="DJ20" s="301"/>
      <c r="DK20" s="301"/>
      <c r="DL20" s="301"/>
      <c r="DM20" s="301"/>
      <c r="DN20" s="301"/>
      <c r="DO20" s="301"/>
      <c r="DP20" s="301"/>
      <c r="DQ20" s="301"/>
      <c r="DR20" s="301"/>
      <c r="DS20" s="301"/>
      <c r="DT20" s="301"/>
      <c r="DU20" s="301"/>
      <c r="DV20" s="301"/>
      <c r="DW20" s="301"/>
      <c r="DX20" s="301"/>
      <c r="DY20" s="301"/>
      <c r="DZ20" s="301"/>
      <c r="EA20" s="301"/>
      <c r="EB20" s="301"/>
      <c r="EC20" s="301"/>
      <c r="ED20" s="301"/>
      <c r="EE20" s="301"/>
      <c r="EF20" s="301"/>
      <c r="EG20" s="301"/>
      <c r="EH20" s="301"/>
      <c r="EI20" s="301"/>
      <c r="EJ20" s="301"/>
      <c r="EK20" s="301"/>
      <c r="EL20" s="301"/>
      <c r="EM20" s="301"/>
      <c r="EN20" s="301"/>
      <c r="EO20" s="301"/>
      <c r="EP20" s="301"/>
      <c r="EQ20" s="301"/>
      <c r="ER20" s="301"/>
      <c r="ES20" s="301"/>
      <c r="ET20" s="301"/>
      <c r="EU20" s="301"/>
      <c r="EV20" s="301"/>
      <c r="EW20" s="301"/>
      <c r="EX20" s="301"/>
      <c r="EY20" s="301"/>
      <c r="EZ20" s="301"/>
      <c r="FA20" s="301"/>
      <c r="FB20" s="301"/>
      <c r="FC20" s="301"/>
      <c r="FD20" s="301"/>
      <c r="FE20" s="301"/>
      <c r="FF20" s="301"/>
      <c r="FG20" s="301"/>
      <c r="FH20" s="301"/>
      <c r="FI20" s="301"/>
      <c r="FJ20" s="301"/>
      <c r="FK20" s="301"/>
      <c r="FL20" s="301"/>
      <c r="FM20" s="301"/>
      <c r="FN20" s="301"/>
      <c r="FO20" s="301"/>
      <c r="FP20" s="301"/>
      <c r="FQ20" s="301"/>
      <c r="FR20" s="301"/>
      <c r="FS20" s="301"/>
      <c r="FT20" s="301"/>
      <c r="FU20" s="301"/>
      <c r="FV20" s="301"/>
      <c r="FW20" s="301"/>
      <c r="FX20" s="301"/>
      <c r="FY20" s="301"/>
      <c r="FZ20" s="301"/>
      <c r="GA20" s="301"/>
      <c r="GB20" s="301"/>
      <c r="GC20" s="301"/>
      <c r="GD20" s="301"/>
      <c r="GE20" s="301"/>
      <c r="GF20" s="301"/>
      <c r="GG20" s="301"/>
      <c r="GH20" s="301"/>
      <c r="GI20" s="301"/>
      <c r="GJ20" s="301"/>
      <c r="GK20" s="301"/>
      <c r="GL20" s="301"/>
      <c r="GM20" s="301"/>
      <c r="GN20" s="301"/>
      <c r="GO20" s="301"/>
      <c r="GP20" s="301"/>
      <c r="GQ20" s="301"/>
      <c r="GR20" s="301"/>
      <c r="GS20" s="301"/>
      <c r="GT20" s="301"/>
      <c r="GU20" s="301"/>
      <c r="GV20" s="301"/>
      <c r="GW20" s="301"/>
      <c r="GX20" s="301"/>
      <c r="GY20" s="301"/>
    </row>
    <row r="21" spans="1:207" s="302" customFormat="1">
      <c r="A21" s="368" t="s">
        <v>914</v>
      </c>
      <c r="B21" s="703" t="s">
        <v>637</v>
      </c>
      <c r="C21" s="633"/>
      <c r="D21" s="19">
        <v>150941</v>
      </c>
      <c r="E21" s="19">
        <v>54546</v>
      </c>
      <c r="F21" s="19"/>
      <c r="G21" s="19"/>
      <c r="H21" s="19"/>
      <c r="I21" s="1361"/>
      <c r="J21" s="634"/>
      <c r="K21" s="635"/>
      <c r="L21" s="636"/>
      <c r="M21" s="1378"/>
      <c r="N21" s="635"/>
      <c r="O21" s="636"/>
      <c r="P21" s="1437"/>
      <c r="Q21" s="1437"/>
      <c r="R21" s="1437"/>
      <c r="S21" s="1437"/>
      <c r="T21" s="1437"/>
      <c r="U21" s="1437"/>
      <c r="V21" s="1437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301"/>
      <c r="BL21" s="301"/>
      <c r="BM21" s="301"/>
      <c r="BN21" s="301"/>
      <c r="BO21" s="301"/>
      <c r="BP21" s="301"/>
      <c r="BQ21" s="301"/>
      <c r="BR21" s="301"/>
      <c r="BS21" s="301"/>
      <c r="BT21" s="301"/>
      <c r="BU21" s="301"/>
      <c r="BV21" s="301"/>
      <c r="BW21" s="301"/>
      <c r="BX21" s="301"/>
      <c r="BY21" s="301"/>
      <c r="BZ21" s="301"/>
      <c r="CA21" s="301"/>
      <c r="CB21" s="301"/>
      <c r="CC21" s="301"/>
      <c r="CD21" s="301"/>
      <c r="CE21" s="301"/>
      <c r="CF21" s="301"/>
      <c r="CG21" s="301"/>
      <c r="CH21" s="301"/>
      <c r="CI21" s="301"/>
      <c r="CJ21" s="301"/>
      <c r="CK21" s="301"/>
      <c r="CL21" s="301"/>
      <c r="CM21" s="301"/>
      <c r="CN21" s="301"/>
      <c r="CO21" s="301"/>
      <c r="CP21" s="301"/>
      <c r="CQ21" s="301"/>
      <c r="CR21" s="301"/>
      <c r="CS21" s="301"/>
      <c r="CT21" s="301"/>
      <c r="CU21" s="301"/>
      <c r="CV21" s="301"/>
      <c r="CW21" s="301"/>
      <c r="CX21" s="301"/>
      <c r="CY21" s="301"/>
      <c r="CZ21" s="301"/>
      <c r="DA21" s="301"/>
      <c r="DB21" s="301"/>
      <c r="DC21" s="301"/>
      <c r="DD21" s="301"/>
      <c r="DE21" s="301"/>
      <c r="DF21" s="301"/>
      <c r="DG21" s="301"/>
      <c r="DH21" s="301"/>
      <c r="DI21" s="301"/>
      <c r="DJ21" s="301"/>
      <c r="DK21" s="301"/>
      <c r="DL21" s="301"/>
      <c r="DM21" s="301"/>
      <c r="DN21" s="301"/>
      <c r="DO21" s="301"/>
      <c r="DP21" s="301"/>
      <c r="DQ21" s="301"/>
      <c r="DR21" s="301"/>
      <c r="DS21" s="301"/>
      <c r="DT21" s="301"/>
      <c r="DU21" s="301"/>
      <c r="DV21" s="301"/>
      <c r="DW21" s="301"/>
      <c r="DX21" s="301"/>
      <c r="DY21" s="301"/>
      <c r="DZ21" s="301"/>
      <c r="EA21" s="301"/>
      <c r="EB21" s="301"/>
      <c r="EC21" s="301"/>
      <c r="ED21" s="301"/>
      <c r="EE21" s="301"/>
      <c r="EF21" s="301"/>
      <c r="EG21" s="301"/>
      <c r="EH21" s="301"/>
      <c r="EI21" s="301"/>
      <c r="EJ21" s="301"/>
      <c r="EK21" s="301"/>
      <c r="EL21" s="301"/>
      <c r="EM21" s="301"/>
      <c r="EN21" s="301"/>
      <c r="EO21" s="301"/>
      <c r="EP21" s="301"/>
      <c r="EQ21" s="301"/>
      <c r="ER21" s="301"/>
      <c r="ES21" s="301"/>
      <c r="ET21" s="301"/>
      <c r="EU21" s="301"/>
      <c r="EV21" s="301"/>
      <c r="EW21" s="301"/>
      <c r="EX21" s="301"/>
      <c r="EY21" s="301"/>
      <c r="EZ21" s="301"/>
      <c r="FA21" s="301"/>
      <c r="FB21" s="301"/>
      <c r="FC21" s="301"/>
      <c r="FD21" s="301"/>
      <c r="FE21" s="301"/>
      <c r="FF21" s="301"/>
      <c r="FG21" s="301"/>
      <c r="FH21" s="301"/>
      <c r="FI21" s="301"/>
      <c r="FJ21" s="301"/>
      <c r="FK21" s="301"/>
      <c r="FL21" s="301"/>
      <c r="FM21" s="301"/>
      <c r="FN21" s="301"/>
      <c r="FO21" s="301"/>
      <c r="FP21" s="301"/>
      <c r="FQ21" s="301"/>
      <c r="FR21" s="301"/>
      <c r="FS21" s="301"/>
      <c r="FT21" s="301"/>
      <c r="FU21" s="301"/>
      <c r="FV21" s="301"/>
      <c r="FW21" s="301"/>
      <c r="FX21" s="301"/>
      <c r="FY21" s="301"/>
      <c r="FZ21" s="301"/>
      <c r="GA21" s="301"/>
      <c r="GB21" s="301"/>
      <c r="GC21" s="301"/>
      <c r="GD21" s="301"/>
      <c r="GE21" s="301"/>
      <c r="GF21" s="301"/>
      <c r="GG21" s="301"/>
      <c r="GH21" s="301"/>
      <c r="GI21" s="301"/>
      <c r="GJ21" s="301"/>
      <c r="GK21" s="301"/>
      <c r="GL21" s="301"/>
      <c r="GM21" s="301"/>
      <c r="GN21" s="301"/>
      <c r="GO21" s="301"/>
      <c r="GP21" s="301"/>
      <c r="GQ21" s="301"/>
      <c r="GR21" s="301"/>
      <c r="GS21" s="301"/>
      <c r="GT21" s="301"/>
      <c r="GU21" s="301"/>
      <c r="GV21" s="301"/>
      <c r="GW21" s="301"/>
      <c r="GX21" s="301"/>
      <c r="GY21" s="301"/>
    </row>
    <row r="22" spans="1:207" s="302" customFormat="1">
      <c r="A22" s="368" t="s">
        <v>915</v>
      </c>
      <c r="B22" s="703" t="s">
        <v>653</v>
      </c>
      <c r="C22" s="633"/>
      <c r="D22" s="19"/>
      <c r="E22" s="19">
        <v>710907</v>
      </c>
      <c r="F22" s="19"/>
      <c r="G22" s="19"/>
      <c r="H22" s="19"/>
      <c r="I22" s="1361"/>
      <c r="J22" s="634"/>
      <c r="K22" s="635"/>
      <c r="L22" s="636"/>
      <c r="M22" s="1378"/>
      <c r="N22" s="635"/>
      <c r="O22" s="636"/>
      <c r="P22" s="1437"/>
      <c r="Q22" s="1437"/>
      <c r="R22" s="1437"/>
      <c r="S22" s="1437"/>
      <c r="T22" s="1437"/>
      <c r="U22" s="1437"/>
      <c r="V22" s="1437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1"/>
      <c r="BM22" s="301"/>
      <c r="BN22" s="301"/>
      <c r="BO22" s="301"/>
      <c r="BP22" s="301"/>
      <c r="BQ22" s="301"/>
      <c r="BR22" s="301"/>
      <c r="BS22" s="301"/>
      <c r="BT22" s="301"/>
      <c r="BU22" s="301"/>
      <c r="BV22" s="301"/>
      <c r="BW22" s="301"/>
      <c r="BX22" s="301"/>
      <c r="BY22" s="301"/>
      <c r="BZ22" s="301"/>
      <c r="CA22" s="301"/>
      <c r="CB22" s="301"/>
      <c r="CC22" s="301"/>
      <c r="CD22" s="301"/>
      <c r="CE22" s="301"/>
      <c r="CF22" s="301"/>
      <c r="CG22" s="301"/>
      <c r="CH22" s="301"/>
      <c r="CI22" s="301"/>
      <c r="CJ22" s="301"/>
      <c r="CK22" s="301"/>
      <c r="CL22" s="301"/>
      <c r="CM22" s="301"/>
      <c r="CN22" s="301"/>
      <c r="CO22" s="301"/>
      <c r="CP22" s="301"/>
      <c r="CQ22" s="301"/>
      <c r="CR22" s="301"/>
      <c r="CS22" s="301"/>
      <c r="CT22" s="301"/>
      <c r="CU22" s="301"/>
      <c r="CV22" s="301"/>
      <c r="CW22" s="301"/>
      <c r="CX22" s="301"/>
      <c r="CY22" s="301"/>
      <c r="CZ22" s="301"/>
      <c r="DA22" s="301"/>
      <c r="DB22" s="301"/>
      <c r="DC22" s="301"/>
      <c r="DD22" s="301"/>
      <c r="DE22" s="301"/>
      <c r="DF22" s="301"/>
      <c r="DG22" s="301"/>
      <c r="DH22" s="301"/>
      <c r="DI22" s="301"/>
      <c r="DJ22" s="301"/>
      <c r="DK22" s="301"/>
      <c r="DL22" s="301"/>
      <c r="DM22" s="301"/>
      <c r="DN22" s="301"/>
      <c r="DO22" s="301"/>
      <c r="DP22" s="301"/>
      <c r="DQ22" s="301"/>
      <c r="DR22" s="301"/>
      <c r="DS22" s="301"/>
      <c r="DT22" s="301"/>
      <c r="DU22" s="301"/>
      <c r="DV22" s="301"/>
      <c r="DW22" s="301"/>
      <c r="DX22" s="301"/>
      <c r="DY22" s="301"/>
      <c r="DZ22" s="301"/>
      <c r="EA22" s="301"/>
      <c r="EB22" s="301"/>
      <c r="EC22" s="301"/>
      <c r="ED22" s="301"/>
      <c r="EE22" s="301"/>
      <c r="EF22" s="301"/>
      <c r="EG22" s="301"/>
      <c r="EH22" s="301"/>
      <c r="EI22" s="301"/>
      <c r="EJ22" s="301"/>
      <c r="EK22" s="301"/>
      <c r="EL22" s="301"/>
      <c r="EM22" s="301"/>
      <c r="EN22" s="301"/>
      <c r="EO22" s="301"/>
      <c r="EP22" s="301"/>
      <c r="EQ22" s="301"/>
      <c r="ER22" s="301"/>
      <c r="ES22" s="301"/>
      <c r="ET22" s="301"/>
      <c r="EU22" s="301"/>
      <c r="EV22" s="301"/>
      <c r="EW22" s="301"/>
      <c r="EX22" s="301"/>
      <c r="EY22" s="301"/>
      <c r="EZ22" s="301"/>
      <c r="FA22" s="301"/>
      <c r="FB22" s="301"/>
      <c r="FC22" s="301"/>
      <c r="FD22" s="301"/>
      <c r="FE22" s="301"/>
      <c r="FF22" s="301"/>
      <c r="FG22" s="301"/>
      <c r="FH22" s="301"/>
      <c r="FI22" s="301"/>
      <c r="FJ22" s="301"/>
      <c r="FK22" s="301"/>
      <c r="FL22" s="301"/>
      <c r="FM22" s="301"/>
      <c r="FN22" s="301"/>
      <c r="FO22" s="301"/>
      <c r="FP22" s="301"/>
      <c r="FQ22" s="301"/>
      <c r="FR22" s="301"/>
      <c r="FS22" s="301"/>
      <c r="FT22" s="301"/>
      <c r="FU22" s="301"/>
      <c r="FV22" s="301"/>
      <c r="FW22" s="301"/>
      <c r="FX22" s="301"/>
      <c r="FY22" s="301"/>
      <c r="FZ22" s="301"/>
      <c r="GA22" s="301"/>
      <c r="GB22" s="301"/>
      <c r="GC22" s="301"/>
      <c r="GD22" s="301"/>
      <c r="GE22" s="301"/>
      <c r="GF22" s="301"/>
      <c r="GG22" s="301"/>
      <c r="GH22" s="301"/>
      <c r="GI22" s="301"/>
      <c r="GJ22" s="301"/>
      <c r="GK22" s="301"/>
      <c r="GL22" s="301"/>
      <c r="GM22" s="301"/>
      <c r="GN22" s="301"/>
      <c r="GO22" s="301"/>
      <c r="GP22" s="301"/>
      <c r="GQ22" s="301"/>
      <c r="GR22" s="301"/>
      <c r="GS22" s="301"/>
      <c r="GT22" s="301"/>
      <c r="GU22" s="301"/>
      <c r="GV22" s="301"/>
      <c r="GW22" s="301"/>
      <c r="GX22" s="301"/>
      <c r="GY22" s="301"/>
    </row>
    <row r="23" spans="1:207" s="302" customFormat="1">
      <c r="A23" s="368" t="s">
        <v>916</v>
      </c>
      <c r="B23" s="703" t="s">
        <v>682</v>
      </c>
      <c r="C23" s="633"/>
      <c r="D23" s="19">
        <v>9649</v>
      </c>
      <c r="E23" s="19"/>
      <c r="F23" s="19"/>
      <c r="G23" s="19"/>
      <c r="H23" s="19"/>
      <c r="I23" s="1361"/>
      <c r="J23" s="634"/>
      <c r="K23" s="635"/>
      <c r="L23" s="636"/>
      <c r="M23" s="1378"/>
      <c r="N23" s="635"/>
      <c r="O23" s="636"/>
      <c r="P23" s="1437"/>
      <c r="Q23" s="1437"/>
      <c r="R23" s="1437"/>
      <c r="S23" s="1437"/>
      <c r="T23" s="1437"/>
      <c r="U23" s="1437"/>
      <c r="V23" s="1437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301"/>
      <c r="BL23" s="301"/>
      <c r="BM23" s="301"/>
      <c r="BN23" s="301"/>
      <c r="BO23" s="301"/>
      <c r="BP23" s="301"/>
      <c r="BQ23" s="301"/>
      <c r="BR23" s="301"/>
      <c r="BS23" s="301"/>
      <c r="BT23" s="301"/>
      <c r="BU23" s="301"/>
      <c r="BV23" s="301"/>
      <c r="BW23" s="301"/>
      <c r="BX23" s="301"/>
      <c r="BY23" s="301"/>
      <c r="BZ23" s="301"/>
      <c r="CA23" s="301"/>
      <c r="CB23" s="301"/>
      <c r="CC23" s="301"/>
      <c r="CD23" s="301"/>
      <c r="CE23" s="301"/>
      <c r="CF23" s="301"/>
      <c r="CG23" s="301"/>
      <c r="CH23" s="301"/>
      <c r="CI23" s="301"/>
      <c r="CJ23" s="301"/>
      <c r="CK23" s="301"/>
      <c r="CL23" s="301"/>
      <c r="CM23" s="301"/>
      <c r="CN23" s="301"/>
      <c r="CO23" s="301"/>
      <c r="CP23" s="301"/>
      <c r="CQ23" s="301"/>
      <c r="CR23" s="301"/>
      <c r="CS23" s="301"/>
      <c r="CT23" s="301"/>
      <c r="CU23" s="301"/>
      <c r="CV23" s="301"/>
      <c r="CW23" s="301"/>
      <c r="CX23" s="301"/>
      <c r="CY23" s="301"/>
      <c r="CZ23" s="301"/>
      <c r="DA23" s="301"/>
      <c r="DB23" s="301"/>
      <c r="DC23" s="301"/>
      <c r="DD23" s="301"/>
      <c r="DE23" s="301"/>
      <c r="DF23" s="301"/>
      <c r="DG23" s="301"/>
      <c r="DH23" s="301"/>
      <c r="DI23" s="301"/>
      <c r="DJ23" s="301"/>
      <c r="DK23" s="301"/>
      <c r="DL23" s="301"/>
      <c r="DM23" s="301"/>
      <c r="DN23" s="301"/>
      <c r="DO23" s="301"/>
      <c r="DP23" s="301"/>
      <c r="DQ23" s="301"/>
      <c r="DR23" s="301"/>
      <c r="DS23" s="301"/>
      <c r="DT23" s="301"/>
      <c r="DU23" s="301"/>
      <c r="DV23" s="301"/>
      <c r="DW23" s="301"/>
      <c r="DX23" s="301"/>
      <c r="DY23" s="301"/>
      <c r="DZ23" s="301"/>
      <c r="EA23" s="301"/>
      <c r="EB23" s="301"/>
      <c r="EC23" s="301"/>
      <c r="ED23" s="301"/>
      <c r="EE23" s="301"/>
      <c r="EF23" s="301"/>
      <c r="EG23" s="301"/>
      <c r="EH23" s="301"/>
      <c r="EI23" s="301"/>
      <c r="EJ23" s="301"/>
      <c r="EK23" s="301"/>
      <c r="EL23" s="301"/>
      <c r="EM23" s="301"/>
      <c r="EN23" s="301"/>
      <c r="EO23" s="301"/>
      <c r="EP23" s="301"/>
      <c r="EQ23" s="301"/>
      <c r="ER23" s="301"/>
      <c r="ES23" s="301"/>
      <c r="ET23" s="301"/>
      <c r="EU23" s="301"/>
      <c r="EV23" s="301"/>
      <c r="EW23" s="301"/>
      <c r="EX23" s="301"/>
      <c r="EY23" s="301"/>
      <c r="EZ23" s="301"/>
      <c r="FA23" s="301"/>
      <c r="FB23" s="301"/>
      <c r="FC23" s="301"/>
      <c r="FD23" s="301"/>
      <c r="FE23" s="301"/>
      <c r="FF23" s="301"/>
      <c r="FG23" s="301"/>
      <c r="FH23" s="301"/>
      <c r="FI23" s="301"/>
      <c r="FJ23" s="301"/>
      <c r="FK23" s="301"/>
      <c r="FL23" s="301"/>
      <c r="FM23" s="301"/>
      <c r="FN23" s="301"/>
      <c r="FO23" s="301"/>
      <c r="FP23" s="301"/>
      <c r="FQ23" s="301"/>
      <c r="FR23" s="301"/>
      <c r="FS23" s="301"/>
      <c r="FT23" s="301"/>
      <c r="FU23" s="301"/>
      <c r="FV23" s="301"/>
      <c r="FW23" s="301"/>
      <c r="FX23" s="301"/>
      <c r="FY23" s="301"/>
      <c r="FZ23" s="301"/>
      <c r="GA23" s="301"/>
      <c r="GB23" s="301"/>
      <c r="GC23" s="301"/>
      <c r="GD23" s="301"/>
      <c r="GE23" s="301"/>
      <c r="GF23" s="301"/>
      <c r="GG23" s="301"/>
      <c r="GH23" s="301"/>
      <c r="GI23" s="301"/>
      <c r="GJ23" s="301"/>
      <c r="GK23" s="301"/>
      <c r="GL23" s="301"/>
      <c r="GM23" s="301"/>
      <c r="GN23" s="301"/>
      <c r="GO23" s="301"/>
      <c r="GP23" s="301"/>
      <c r="GQ23" s="301"/>
      <c r="GR23" s="301"/>
      <c r="GS23" s="301"/>
      <c r="GT23" s="301"/>
      <c r="GU23" s="301"/>
      <c r="GV23" s="301"/>
      <c r="GW23" s="301"/>
      <c r="GX23" s="301"/>
      <c r="GY23" s="301"/>
    </row>
    <row r="24" spans="1:207" s="302" customFormat="1">
      <c r="A24" s="368" t="s">
        <v>917</v>
      </c>
      <c r="B24" s="721" t="s">
        <v>955</v>
      </c>
      <c r="C24" s="633"/>
      <c r="D24" s="19"/>
      <c r="E24" s="19"/>
      <c r="F24" s="19"/>
      <c r="G24" s="19">
        <f>2500+51474</f>
        <v>53974</v>
      </c>
      <c r="H24" s="19">
        <f>2380</f>
        <v>2380</v>
      </c>
      <c r="I24" s="1361"/>
      <c r="J24" s="634">
        <v>40</v>
      </c>
      <c r="K24" s="827">
        <f t="shared" ref="K24" si="1">100/J24</f>
        <v>2.5</v>
      </c>
      <c r="L24" s="828">
        <f t="shared" ref="L24" si="2">H24*K24/100</f>
        <v>59.5</v>
      </c>
      <c r="M24" s="1378"/>
      <c r="N24" s="635"/>
      <c r="O24" s="636"/>
      <c r="P24" s="1437"/>
      <c r="Q24" s="1437"/>
      <c r="R24" s="1437"/>
      <c r="S24" s="1437"/>
      <c r="T24" s="1437"/>
      <c r="U24" s="1437"/>
      <c r="V24" s="1437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301"/>
      <c r="BL24" s="301"/>
      <c r="BM24" s="301"/>
      <c r="BN24" s="301"/>
      <c r="BO24" s="301"/>
      <c r="BP24" s="301"/>
      <c r="BQ24" s="301"/>
      <c r="BR24" s="301"/>
      <c r="BS24" s="301"/>
      <c r="BT24" s="301"/>
      <c r="BU24" s="301"/>
      <c r="BV24" s="301"/>
      <c r="BW24" s="301"/>
      <c r="BX24" s="301"/>
      <c r="BY24" s="301"/>
      <c r="BZ24" s="301"/>
      <c r="CA24" s="301"/>
      <c r="CB24" s="301"/>
      <c r="CC24" s="301"/>
      <c r="CD24" s="301"/>
      <c r="CE24" s="301"/>
      <c r="CF24" s="301"/>
      <c r="CG24" s="301"/>
      <c r="CH24" s="301"/>
      <c r="CI24" s="301"/>
      <c r="CJ24" s="301"/>
      <c r="CK24" s="301"/>
      <c r="CL24" s="301"/>
      <c r="CM24" s="301"/>
      <c r="CN24" s="301"/>
      <c r="CO24" s="301"/>
      <c r="CP24" s="301"/>
      <c r="CQ24" s="301"/>
      <c r="CR24" s="301"/>
      <c r="CS24" s="301"/>
      <c r="CT24" s="301"/>
      <c r="CU24" s="301"/>
      <c r="CV24" s="301"/>
      <c r="CW24" s="301"/>
      <c r="CX24" s="301"/>
      <c r="CY24" s="301"/>
      <c r="CZ24" s="301"/>
      <c r="DA24" s="301"/>
      <c r="DB24" s="301"/>
      <c r="DC24" s="301"/>
      <c r="DD24" s="301"/>
      <c r="DE24" s="301"/>
      <c r="DF24" s="301"/>
      <c r="DG24" s="301"/>
      <c r="DH24" s="301"/>
      <c r="DI24" s="301"/>
      <c r="DJ24" s="301"/>
      <c r="DK24" s="301"/>
      <c r="DL24" s="301"/>
      <c r="DM24" s="301"/>
      <c r="DN24" s="301"/>
      <c r="DO24" s="301"/>
      <c r="DP24" s="301"/>
      <c r="DQ24" s="301"/>
      <c r="DR24" s="301"/>
      <c r="DS24" s="301"/>
      <c r="DT24" s="301"/>
      <c r="DU24" s="301"/>
      <c r="DV24" s="301"/>
      <c r="DW24" s="301"/>
      <c r="DX24" s="301"/>
      <c r="DY24" s="301"/>
      <c r="DZ24" s="301"/>
      <c r="EA24" s="301"/>
      <c r="EB24" s="301"/>
      <c r="EC24" s="301"/>
      <c r="ED24" s="301"/>
      <c r="EE24" s="301"/>
      <c r="EF24" s="301"/>
      <c r="EG24" s="301"/>
      <c r="EH24" s="301"/>
      <c r="EI24" s="301"/>
      <c r="EJ24" s="301"/>
      <c r="EK24" s="301"/>
      <c r="EL24" s="301"/>
      <c r="EM24" s="301"/>
      <c r="EN24" s="301"/>
      <c r="EO24" s="301"/>
      <c r="EP24" s="301"/>
      <c r="EQ24" s="301"/>
      <c r="ER24" s="301"/>
      <c r="ES24" s="301"/>
      <c r="ET24" s="301"/>
      <c r="EU24" s="301"/>
      <c r="EV24" s="301"/>
      <c r="EW24" s="301"/>
      <c r="EX24" s="301"/>
      <c r="EY24" s="301"/>
      <c r="EZ24" s="301"/>
      <c r="FA24" s="301"/>
      <c r="FB24" s="301"/>
      <c r="FC24" s="301"/>
      <c r="FD24" s="301"/>
      <c r="FE24" s="301"/>
      <c r="FF24" s="301"/>
      <c r="FG24" s="301"/>
      <c r="FH24" s="301"/>
      <c r="FI24" s="301"/>
      <c r="FJ24" s="301"/>
      <c r="FK24" s="301"/>
      <c r="FL24" s="301"/>
      <c r="FM24" s="301"/>
      <c r="FN24" s="301"/>
      <c r="FO24" s="301"/>
      <c r="FP24" s="301"/>
      <c r="FQ24" s="301"/>
      <c r="FR24" s="301"/>
      <c r="FS24" s="301"/>
      <c r="FT24" s="301"/>
      <c r="FU24" s="301"/>
      <c r="FV24" s="301"/>
      <c r="FW24" s="301"/>
      <c r="FX24" s="301"/>
      <c r="FY24" s="301"/>
      <c r="FZ24" s="301"/>
      <c r="GA24" s="301"/>
      <c r="GB24" s="301"/>
      <c r="GC24" s="301"/>
      <c r="GD24" s="301"/>
      <c r="GE24" s="301"/>
      <c r="GF24" s="301"/>
      <c r="GG24" s="301"/>
      <c r="GH24" s="301"/>
      <c r="GI24" s="301"/>
      <c r="GJ24" s="301"/>
      <c r="GK24" s="301"/>
      <c r="GL24" s="301"/>
      <c r="GM24" s="301"/>
      <c r="GN24" s="301"/>
      <c r="GO24" s="301"/>
      <c r="GP24" s="301"/>
      <c r="GQ24" s="301"/>
      <c r="GR24" s="301"/>
      <c r="GS24" s="301"/>
      <c r="GT24" s="301"/>
      <c r="GU24" s="301"/>
      <c r="GV24" s="301"/>
      <c r="GW24" s="301"/>
      <c r="GX24" s="301"/>
      <c r="GY24" s="301"/>
    </row>
    <row r="25" spans="1:207" s="302" customFormat="1">
      <c r="A25" s="368" t="s">
        <v>918</v>
      </c>
      <c r="B25" s="721" t="s">
        <v>956</v>
      </c>
      <c r="C25" s="633"/>
      <c r="D25" s="19"/>
      <c r="E25" s="19"/>
      <c r="F25" s="19"/>
      <c r="G25" s="19">
        <v>6042</v>
      </c>
      <c r="H25" s="19"/>
      <c r="I25" s="1361"/>
      <c r="J25" s="634"/>
      <c r="K25" s="635"/>
      <c r="L25" s="636"/>
      <c r="M25" s="1378"/>
      <c r="N25" s="635"/>
      <c r="O25" s="636"/>
      <c r="P25" s="1437"/>
      <c r="Q25" s="1437"/>
      <c r="R25" s="1437"/>
      <c r="S25" s="1437"/>
      <c r="T25" s="1437"/>
      <c r="U25" s="1437"/>
      <c r="V25" s="1437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301"/>
      <c r="BL25" s="301"/>
      <c r="BM25" s="301"/>
      <c r="BN25" s="301"/>
      <c r="BO25" s="301"/>
      <c r="BP25" s="301"/>
      <c r="BQ25" s="301"/>
      <c r="BR25" s="301"/>
      <c r="BS25" s="301"/>
      <c r="BT25" s="301"/>
      <c r="BU25" s="301"/>
      <c r="BV25" s="301"/>
      <c r="BW25" s="301"/>
      <c r="BX25" s="301"/>
      <c r="BY25" s="301"/>
      <c r="BZ25" s="301"/>
      <c r="CA25" s="301"/>
      <c r="CB25" s="301"/>
      <c r="CC25" s="301"/>
      <c r="CD25" s="301"/>
      <c r="CE25" s="301"/>
      <c r="CF25" s="301"/>
      <c r="CG25" s="301"/>
      <c r="CH25" s="301"/>
      <c r="CI25" s="301"/>
      <c r="CJ25" s="301"/>
      <c r="CK25" s="301"/>
      <c r="CL25" s="301"/>
      <c r="CM25" s="301"/>
      <c r="CN25" s="301"/>
      <c r="CO25" s="301"/>
      <c r="CP25" s="301"/>
      <c r="CQ25" s="301"/>
      <c r="CR25" s="301"/>
      <c r="CS25" s="301"/>
      <c r="CT25" s="301"/>
      <c r="CU25" s="301"/>
      <c r="CV25" s="301"/>
      <c r="CW25" s="301"/>
      <c r="CX25" s="301"/>
      <c r="CY25" s="301"/>
      <c r="CZ25" s="301"/>
      <c r="DA25" s="301"/>
      <c r="DB25" s="301"/>
      <c r="DC25" s="301"/>
      <c r="DD25" s="301"/>
      <c r="DE25" s="301"/>
      <c r="DF25" s="301"/>
      <c r="DG25" s="301"/>
      <c r="DH25" s="301"/>
      <c r="DI25" s="301"/>
      <c r="DJ25" s="301"/>
      <c r="DK25" s="301"/>
      <c r="DL25" s="301"/>
      <c r="DM25" s="301"/>
      <c r="DN25" s="301"/>
      <c r="DO25" s="301"/>
      <c r="DP25" s="301"/>
      <c r="DQ25" s="301"/>
      <c r="DR25" s="301"/>
      <c r="DS25" s="301"/>
      <c r="DT25" s="301"/>
      <c r="DU25" s="301"/>
      <c r="DV25" s="301"/>
      <c r="DW25" s="301"/>
      <c r="DX25" s="301"/>
      <c r="DY25" s="301"/>
      <c r="DZ25" s="301"/>
      <c r="EA25" s="301"/>
      <c r="EB25" s="301"/>
      <c r="EC25" s="301"/>
      <c r="ED25" s="301"/>
      <c r="EE25" s="301"/>
      <c r="EF25" s="301"/>
      <c r="EG25" s="301"/>
      <c r="EH25" s="301"/>
      <c r="EI25" s="301"/>
      <c r="EJ25" s="301"/>
      <c r="EK25" s="301"/>
      <c r="EL25" s="301"/>
      <c r="EM25" s="301"/>
      <c r="EN25" s="301"/>
      <c r="EO25" s="301"/>
      <c r="EP25" s="301"/>
      <c r="EQ25" s="301"/>
      <c r="ER25" s="301"/>
      <c r="ES25" s="301"/>
      <c r="ET25" s="301"/>
      <c r="EU25" s="301"/>
      <c r="EV25" s="301"/>
      <c r="EW25" s="301"/>
      <c r="EX25" s="301"/>
      <c r="EY25" s="301"/>
      <c r="EZ25" s="301"/>
      <c r="FA25" s="301"/>
      <c r="FB25" s="301"/>
      <c r="FC25" s="301"/>
      <c r="FD25" s="301"/>
      <c r="FE25" s="301"/>
      <c r="FF25" s="301"/>
      <c r="FG25" s="301"/>
      <c r="FH25" s="301"/>
      <c r="FI25" s="301"/>
      <c r="FJ25" s="301"/>
      <c r="FK25" s="301"/>
      <c r="FL25" s="301"/>
      <c r="FM25" s="301"/>
      <c r="FN25" s="301"/>
      <c r="FO25" s="301"/>
      <c r="FP25" s="301"/>
      <c r="FQ25" s="301"/>
      <c r="FR25" s="301"/>
      <c r="FS25" s="301"/>
      <c r="FT25" s="301"/>
      <c r="FU25" s="301"/>
      <c r="FV25" s="301"/>
      <c r="FW25" s="301"/>
      <c r="FX25" s="301"/>
      <c r="FY25" s="301"/>
      <c r="FZ25" s="301"/>
      <c r="GA25" s="301"/>
      <c r="GB25" s="301"/>
      <c r="GC25" s="301"/>
      <c r="GD25" s="301"/>
      <c r="GE25" s="301"/>
      <c r="GF25" s="301"/>
      <c r="GG25" s="301"/>
      <c r="GH25" s="301"/>
      <c r="GI25" s="301"/>
      <c r="GJ25" s="301"/>
      <c r="GK25" s="301"/>
      <c r="GL25" s="301"/>
      <c r="GM25" s="301"/>
      <c r="GN25" s="301"/>
      <c r="GO25" s="301"/>
      <c r="GP25" s="301"/>
      <c r="GQ25" s="301"/>
      <c r="GR25" s="301"/>
      <c r="GS25" s="301"/>
      <c r="GT25" s="301"/>
      <c r="GU25" s="301"/>
      <c r="GV25" s="301"/>
      <c r="GW25" s="301"/>
      <c r="GX25" s="301"/>
      <c r="GY25" s="301"/>
    </row>
    <row r="26" spans="1:207" s="302" customFormat="1">
      <c r="A26" s="368" t="s">
        <v>919</v>
      </c>
      <c r="B26" s="675" t="s">
        <v>960</v>
      </c>
      <c r="C26" s="633"/>
      <c r="D26" s="19"/>
      <c r="E26" s="19"/>
      <c r="F26" s="19"/>
      <c r="G26" s="19">
        <v>3536.02</v>
      </c>
      <c r="H26" s="19"/>
      <c r="I26" s="1361"/>
      <c r="J26" s="634"/>
      <c r="K26" s="635"/>
      <c r="L26" s="636"/>
      <c r="M26" s="1378"/>
      <c r="N26" s="635"/>
      <c r="O26" s="636"/>
      <c r="P26" s="1437"/>
      <c r="Q26" s="1437"/>
      <c r="R26" s="1437"/>
      <c r="S26" s="1437"/>
      <c r="T26" s="1437"/>
      <c r="U26" s="1437"/>
      <c r="V26" s="1437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301"/>
      <c r="BL26" s="301"/>
      <c r="BM26" s="301"/>
      <c r="BN26" s="301"/>
      <c r="BO26" s="301"/>
      <c r="BP26" s="301"/>
      <c r="BQ26" s="301"/>
      <c r="BR26" s="301"/>
      <c r="BS26" s="301"/>
      <c r="BT26" s="301"/>
      <c r="BU26" s="301"/>
      <c r="BV26" s="301"/>
      <c r="BW26" s="301"/>
      <c r="BX26" s="301"/>
      <c r="BY26" s="301"/>
      <c r="BZ26" s="301"/>
      <c r="CA26" s="301"/>
      <c r="CB26" s="301"/>
      <c r="CC26" s="301"/>
      <c r="CD26" s="301"/>
      <c r="CE26" s="301"/>
      <c r="CF26" s="301"/>
      <c r="CG26" s="301"/>
      <c r="CH26" s="301"/>
      <c r="CI26" s="301"/>
      <c r="CJ26" s="301"/>
      <c r="CK26" s="301"/>
      <c r="CL26" s="301"/>
      <c r="CM26" s="301"/>
      <c r="CN26" s="301"/>
      <c r="CO26" s="301"/>
      <c r="CP26" s="301"/>
      <c r="CQ26" s="301"/>
      <c r="CR26" s="301"/>
      <c r="CS26" s="301"/>
      <c r="CT26" s="301"/>
      <c r="CU26" s="301"/>
      <c r="CV26" s="301"/>
      <c r="CW26" s="301"/>
      <c r="CX26" s="301"/>
      <c r="CY26" s="301"/>
      <c r="CZ26" s="301"/>
      <c r="DA26" s="301"/>
      <c r="DB26" s="301"/>
      <c r="DC26" s="301"/>
      <c r="DD26" s="301"/>
      <c r="DE26" s="301"/>
      <c r="DF26" s="301"/>
      <c r="DG26" s="301"/>
      <c r="DH26" s="301"/>
      <c r="DI26" s="301"/>
      <c r="DJ26" s="301"/>
      <c r="DK26" s="301"/>
      <c r="DL26" s="301"/>
      <c r="DM26" s="301"/>
      <c r="DN26" s="301"/>
      <c r="DO26" s="301"/>
      <c r="DP26" s="301"/>
      <c r="DQ26" s="301"/>
      <c r="DR26" s="301"/>
      <c r="DS26" s="301"/>
      <c r="DT26" s="301"/>
      <c r="DU26" s="301"/>
      <c r="DV26" s="301"/>
      <c r="DW26" s="301"/>
      <c r="DX26" s="301"/>
      <c r="DY26" s="301"/>
      <c r="DZ26" s="301"/>
      <c r="EA26" s="301"/>
      <c r="EB26" s="301"/>
      <c r="EC26" s="301"/>
      <c r="ED26" s="301"/>
      <c r="EE26" s="301"/>
      <c r="EF26" s="301"/>
      <c r="EG26" s="301"/>
      <c r="EH26" s="301"/>
      <c r="EI26" s="301"/>
      <c r="EJ26" s="301"/>
      <c r="EK26" s="301"/>
      <c r="EL26" s="301"/>
      <c r="EM26" s="301"/>
      <c r="EN26" s="301"/>
      <c r="EO26" s="301"/>
      <c r="EP26" s="301"/>
      <c r="EQ26" s="301"/>
      <c r="ER26" s="301"/>
      <c r="ES26" s="301"/>
      <c r="ET26" s="301"/>
      <c r="EU26" s="301"/>
      <c r="EV26" s="301"/>
      <c r="EW26" s="301"/>
      <c r="EX26" s="301"/>
      <c r="EY26" s="301"/>
      <c r="EZ26" s="301"/>
      <c r="FA26" s="301"/>
      <c r="FB26" s="301"/>
      <c r="FC26" s="301"/>
      <c r="FD26" s="301"/>
      <c r="FE26" s="301"/>
      <c r="FF26" s="301"/>
      <c r="FG26" s="301"/>
      <c r="FH26" s="301"/>
      <c r="FI26" s="301"/>
      <c r="FJ26" s="301"/>
      <c r="FK26" s="301"/>
      <c r="FL26" s="301"/>
      <c r="FM26" s="301"/>
      <c r="FN26" s="301"/>
      <c r="FO26" s="301"/>
      <c r="FP26" s="301"/>
      <c r="FQ26" s="301"/>
      <c r="FR26" s="301"/>
      <c r="FS26" s="301"/>
      <c r="FT26" s="301"/>
      <c r="FU26" s="301"/>
      <c r="FV26" s="301"/>
      <c r="FW26" s="301"/>
      <c r="FX26" s="301"/>
      <c r="FY26" s="301"/>
      <c r="FZ26" s="301"/>
      <c r="GA26" s="301"/>
      <c r="GB26" s="301"/>
      <c r="GC26" s="301"/>
      <c r="GD26" s="301"/>
      <c r="GE26" s="301"/>
      <c r="GF26" s="301"/>
      <c r="GG26" s="301"/>
      <c r="GH26" s="301"/>
      <c r="GI26" s="301"/>
      <c r="GJ26" s="301"/>
      <c r="GK26" s="301"/>
      <c r="GL26" s="301"/>
      <c r="GM26" s="301"/>
      <c r="GN26" s="301"/>
      <c r="GO26" s="301"/>
      <c r="GP26" s="301"/>
      <c r="GQ26" s="301"/>
      <c r="GR26" s="301"/>
      <c r="GS26" s="301"/>
      <c r="GT26" s="301"/>
      <c r="GU26" s="301"/>
      <c r="GV26" s="301"/>
      <c r="GW26" s="301"/>
      <c r="GX26" s="301"/>
      <c r="GY26" s="301"/>
    </row>
    <row r="27" spans="1:207" s="302" customFormat="1">
      <c r="A27" s="368" t="s">
        <v>957</v>
      </c>
      <c r="B27" s="701" t="s">
        <v>1012</v>
      </c>
      <c r="C27" s="633"/>
      <c r="D27" s="681"/>
      <c r="E27" s="19"/>
      <c r="F27" s="19"/>
      <c r="G27" s="19"/>
      <c r="H27" s="19"/>
      <c r="I27" s="1361">
        <v>37088.239999999998</v>
      </c>
      <c r="J27" s="852"/>
      <c r="K27" s="827"/>
      <c r="L27" s="828"/>
      <c r="M27" s="1380">
        <v>40</v>
      </c>
      <c r="N27" s="827">
        <f t="shared" ref="N27:N38" si="3">100/M27</f>
        <v>2.5</v>
      </c>
      <c r="O27" s="828">
        <f t="shared" ref="O27:O38" si="4">I27*N27/100</f>
        <v>927.2059999999999</v>
      </c>
      <c r="P27" s="1437"/>
      <c r="Q27" s="1437"/>
      <c r="R27" s="1437"/>
      <c r="S27" s="1437"/>
      <c r="T27" s="1437"/>
      <c r="U27" s="1437"/>
      <c r="V27" s="1437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1"/>
      <c r="BL27" s="301"/>
      <c r="BM27" s="301"/>
      <c r="BN27" s="301"/>
      <c r="BO27" s="301"/>
      <c r="BP27" s="301"/>
      <c r="BQ27" s="301"/>
      <c r="BR27" s="301"/>
      <c r="BS27" s="301"/>
      <c r="BT27" s="301"/>
      <c r="BU27" s="301"/>
      <c r="BV27" s="301"/>
      <c r="BW27" s="301"/>
      <c r="BX27" s="301"/>
      <c r="BY27" s="301"/>
      <c r="BZ27" s="301"/>
      <c r="CA27" s="301"/>
      <c r="CB27" s="301"/>
      <c r="CC27" s="301"/>
      <c r="CD27" s="301"/>
      <c r="CE27" s="301"/>
      <c r="CF27" s="301"/>
      <c r="CG27" s="301"/>
      <c r="CH27" s="301"/>
      <c r="CI27" s="301"/>
      <c r="CJ27" s="301"/>
      <c r="CK27" s="301"/>
      <c r="CL27" s="301"/>
      <c r="CM27" s="301"/>
      <c r="CN27" s="301"/>
      <c r="CO27" s="301"/>
      <c r="CP27" s="301"/>
      <c r="CQ27" s="301"/>
      <c r="CR27" s="301"/>
      <c r="CS27" s="301"/>
      <c r="CT27" s="301"/>
      <c r="CU27" s="301"/>
      <c r="CV27" s="301"/>
      <c r="CW27" s="301"/>
      <c r="CX27" s="301"/>
      <c r="CY27" s="301"/>
      <c r="CZ27" s="301"/>
      <c r="DA27" s="301"/>
      <c r="DB27" s="301"/>
      <c r="DC27" s="301"/>
      <c r="DD27" s="301"/>
      <c r="DE27" s="301"/>
      <c r="DF27" s="301"/>
      <c r="DG27" s="301"/>
      <c r="DH27" s="301"/>
      <c r="DI27" s="301"/>
      <c r="DJ27" s="301"/>
      <c r="DK27" s="301"/>
      <c r="DL27" s="301"/>
      <c r="DM27" s="301"/>
      <c r="DN27" s="301"/>
      <c r="DO27" s="301"/>
      <c r="DP27" s="301"/>
      <c r="DQ27" s="301"/>
      <c r="DR27" s="301"/>
      <c r="DS27" s="301"/>
      <c r="DT27" s="301"/>
      <c r="DU27" s="301"/>
      <c r="DV27" s="301"/>
      <c r="DW27" s="301"/>
      <c r="DX27" s="301"/>
      <c r="DY27" s="301"/>
      <c r="DZ27" s="301"/>
      <c r="EA27" s="301"/>
      <c r="EB27" s="301"/>
      <c r="EC27" s="301"/>
      <c r="ED27" s="301"/>
      <c r="EE27" s="301"/>
      <c r="EF27" s="301"/>
      <c r="EG27" s="301"/>
      <c r="EH27" s="301"/>
      <c r="EI27" s="301"/>
      <c r="EJ27" s="301"/>
      <c r="EK27" s="301"/>
      <c r="EL27" s="301"/>
      <c r="EM27" s="301"/>
      <c r="EN27" s="301"/>
      <c r="EO27" s="301"/>
      <c r="EP27" s="301"/>
      <c r="EQ27" s="301"/>
      <c r="ER27" s="301"/>
      <c r="ES27" s="301"/>
      <c r="ET27" s="301"/>
      <c r="EU27" s="301"/>
      <c r="EV27" s="301"/>
      <c r="EW27" s="301"/>
      <c r="EX27" s="301"/>
      <c r="EY27" s="301"/>
      <c r="EZ27" s="301"/>
      <c r="FA27" s="301"/>
      <c r="FB27" s="301"/>
      <c r="FC27" s="301"/>
      <c r="FD27" s="301"/>
      <c r="FE27" s="301"/>
      <c r="FF27" s="301"/>
      <c r="FG27" s="301"/>
      <c r="FH27" s="301"/>
      <c r="FI27" s="301"/>
      <c r="FJ27" s="301"/>
      <c r="FK27" s="301"/>
      <c r="FL27" s="301"/>
      <c r="FM27" s="301"/>
      <c r="FN27" s="301"/>
      <c r="FO27" s="301"/>
      <c r="FP27" s="301"/>
      <c r="FQ27" s="301"/>
      <c r="FR27" s="301"/>
      <c r="FS27" s="301"/>
      <c r="FT27" s="301"/>
      <c r="FU27" s="301"/>
      <c r="FV27" s="301"/>
      <c r="FW27" s="301"/>
      <c r="FX27" s="301"/>
      <c r="FY27" s="301"/>
      <c r="FZ27" s="301"/>
      <c r="GA27" s="301"/>
      <c r="GB27" s="301"/>
      <c r="GC27" s="301"/>
      <c r="GD27" s="301"/>
      <c r="GE27" s="301"/>
      <c r="GF27" s="301"/>
      <c r="GG27" s="301"/>
      <c r="GH27" s="301"/>
      <c r="GI27" s="301"/>
      <c r="GJ27" s="301"/>
      <c r="GK27" s="301"/>
      <c r="GL27" s="301"/>
      <c r="GM27" s="301"/>
      <c r="GN27" s="301"/>
      <c r="GO27" s="301"/>
      <c r="GP27" s="301"/>
      <c r="GQ27" s="301"/>
      <c r="GR27" s="301"/>
      <c r="GS27" s="301"/>
      <c r="GT27" s="301"/>
      <c r="GU27" s="301"/>
      <c r="GV27" s="301"/>
      <c r="GW27" s="301"/>
      <c r="GX27" s="301"/>
      <c r="GY27" s="301"/>
    </row>
    <row r="28" spans="1:207" s="302" customFormat="1">
      <c r="A28" s="368" t="s">
        <v>958</v>
      </c>
      <c r="B28" s="701" t="s">
        <v>1013</v>
      </c>
      <c r="C28" s="633"/>
      <c r="D28" s="681"/>
      <c r="E28" s="19"/>
      <c r="F28" s="19"/>
      <c r="G28" s="19"/>
      <c r="H28" s="19"/>
      <c r="I28" s="1361">
        <v>213925.07919686913</v>
      </c>
      <c r="J28" s="852"/>
      <c r="K28" s="827"/>
      <c r="L28" s="828"/>
      <c r="M28" s="1380">
        <v>40</v>
      </c>
      <c r="N28" s="827">
        <f t="shared" si="3"/>
        <v>2.5</v>
      </c>
      <c r="O28" s="828">
        <f t="shared" si="4"/>
        <v>5348.126979921728</v>
      </c>
      <c r="P28" s="1437"/>
      <c r="Q28" s="1437"/>
      <c r="R28" s="1437"/>
      <c r="S28" s="1437"/>
      <c r="T28" s="1437"/>
      <c r="U28" s="1437"/>
      <c r="V28" s="1437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301"/>
      <c r="BM28" s="301"/>
      <c r="BN28" s="301"/>
      <c r="BO28" s="301"/>
      <c r="BP28" s="301"/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1"/>
      <c r="CC28" s="301"/>
      <c r="CD28" s="301"/>
      <c r="CE28" s="301"/>
      <c r="CF28" s="301"/>
      <c r="CG28" s="301"/>
      <c r="CH28" s="301"/>
      <c r="CI28" s="301"/>
      <c r="CJ28" s="301"/>
      <c r="CK28" s="301"/>
      <c r="CL28" s="301"/>
      <c r="CM28" s="301"/>
      <c r="CN28" s="301"/>
      <c r="CO28" s="301"/>
      <c r="CP28" s="301"/>
      <c r="CQ28" s="301"/>
      <c r="CR28" s="301"/>
      <c r="CS28" s="301"/>
      <c r="CT28" s="301"/>
      <c r="CU28" s="301"/>
      <c r="CV28" s="301"/>
      <c r="CW28" s="301"/>
      <c r="CX28" s="301"/>
      <c r="CY28" s="301"/>
      <c r="CZ28" s="301"/>
      <c r="DA28" s="301"/>
      <c r="DB28" s="301"/>
      <c r="DC28" s="301"/>
      <c r="DD28" s="301"/>
      <c r="DE28" s="301"/>
      <c r="DF28" s="301"/>
      <c r="DG28" s="301"/>
      <c r="DH28" s="301"/>
      <c r="DI28" s="301"/>
      <c r="DJ28" s="301"/>
      <c r="DK28" s="301"/>
      <c r="DL28" s="301"/>
      <c r="DM28" s="301"/>
      <c r="DN28" s="301"/>
      <c r="DO28" s="301"/>
      <c r="DP28" s="301"/>
      <c r="DQ28" s="301"/>
      <c r="DR28" s="301"/>
      <c r="DS28" s="301"/>
      <c r="DT28" s="301"/>
      <c r="DU28" s="301"/>
      <c r="DV28" s="301"/>
      <c r="DW28" s="301"/>
      <c r="DX28" s="301"/>
      <c r="DY28" s="301"/>
      <c r="DZ28" s="301"/>
      <c r="EA28" s="301"/>
      <c r="EB28" s="301"/>
      <c r="EC28" s="301"/>
      <c r="ED28" s="301"/>
      <c r="EE28" s="301"/>
      <c r="EF28" s="301"/>
      <c r="EG28" s="301"/>
      <c r="EH28" s="301"/>
      <c r="EI28" s="301"/>
      <c r="EJ28" s="301"/>
      <c r="EK28" s="301"/>
      <c r="EL28" s="301"/>
      <c r="EM28" s="301"/>
      <c r="EN28" s="301"/>
      <c r="EO28" s="301"/>
      <c r="EP28" s="301"/>
      <c r="EQ28" s="301"/>
      <c r="ER28" s="301"/>
      <c r="ES28" s="301"/>
      <c r="ET28" s="301"/>
      <c r="EU28" s="301"/>
      <c r="EV28" s="301"/>
      <c r="EW28" s="301"/>
      <c r="EX28" s="301"/>
      <c r="EY28" s="301"/>
      <c r="EZ28" s="301"/>
      <c r="FA28" s="301"/>
      <c r="FB28" s="301"/>
      <c r="FC28" s="301"/>
      <c r="FD28" s="301"/>
      <c r="FE28" s="301"/>
      <c r="FF28" s="301"/>
      <c r="FG28" s="301"/>
      <c r="FH28" s="301"/>
      <c r="FI28" s="301"/>
      <c r="FJ28" s="301"/>
      <c r="FK28" s="301"/>
      <c r="FL28" s="301"/>
      <c r="FM28" s="301"/>
      <c r="FN28" s="301"/>
      <c r="FO28" s="301"/>
      <c r="FP28" s="301"/>
      <c r="FQ28" s="301"/>
      <c r="FR28" s="301"/>
      <c r="FS28" s="301"/>
      <c r="FT28" s="301"/>
      <c r="FU28" s="301"/>
      <c r="FV28" s="301"/>
      <c r="FW28" s="301"/>
      <c r="FX28" s="301"/>
      <c r="FY28" s="301"/>
      <c r="FZ28" s="301"/>
      <c r="GA28" s="301"/>
      <c r="GB28" s="301"/>
      <c r="GC28" s="301"/>
      <c r="GD28" s="301"/>
      <c r="GE28" s="301"/>
      <c r="GF28" s="301"/>
      <c r="GG28" s="301"/>
      <c r="GH28" s="301"/>
      <c r="GI28" s="301"/>
      <c r="GJ28" s="301"/>
      <c r="GK28" s="301"/>
      <c r="GL28" s="301"/>
      <c r="GM28" s="301"/>
      <c r="GN28" s="301"/>
      <c r="GO28" s="301"/>
      <c r="GP28" s="301"/>
      <c r="GQ28" s="301"/>
      <c r="GR28" s="301"/>
      <c r="GS28" s="301"/>
      <c r="GT28" s="301"/>
      <c r="GU28" s="301"/>
      <c r="GV28" s="301"/>
      <c r="GW28" s="301"/>
      <c r="GX28" s="301"/>
      <c r="GY28" s="301"/>
    </row>
    <row r="29" spans="1:207" s="302" customFormat="1">
      <c r="A29" s="368" t="s">
        <v>959</v>
      </c>
      <c r="B29" s="701" t="s">
        <v>1014</v>
      </c>
      <c r="C29" s="633"/>
      <c r="D29" s="1273"/>
      <c r="E29" s="19"/>
      <c r="F29" s="19"/>
      <c r="G29" s="19"/>
      <c r="H29" s="19"/>
      <c r="I29" s="1361">
        <v>122886.64674540261</v>
      </c>
      <c r="J29" s="852"/>
      <c r="K29" s="827"/>
      <c r="L29" s="828"/>
      <c r="M29" s="1380">
        <v>15</v>
      </c>
      <c r="N29" s="827">
        <f t="shared" si="3"/>
        <v>6.666666666666667</v>
      </c>
      <c r="O29" s="828">
        <f t="shared" si="4"/>
        <v>8192.4431163601748</v>
      </c>
      <c r="P29" s="1437"/>
      <c r="Q29" s="1437"/>
      <c r="R29" s="1437"/>
      <c r="S29" s="1437"/>
      <c r="T29" s="1437"/>
      <c r="U29" s="1437"/>
      <c r="V29" s="1437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01"/>
      <c r="CH29" s="301"/>
      <c r="CI29" s="301"/>
      <c r="CJ29" s="301"/>
      <c r="CK29" s="301"/>
      <c r="CL29" s="301"/>
      <c r="CM29" s="301"/>
      <c r="CN29" s="301"/>
      <c r="CO29" s="301"/>
      <c r="CP29" s="301"/>
      <c r="CQ29" s="301"/>
      <c r="CR29" s="301"/>
      <c r="CS29" s="301"/>
      <c r="CT29" s="301"/>
      <c r="CU29" s="301"/>
      <c r="CV29" s="301"/>
      <c r="CW29" s="301"/>
      <c r="CX29" s="301"/>
      <c r="CY29" s="301"/>
      <c r="CZ29" s="301"/>
      <c r="DA29" s="301"/>
      <c r="DB29" s="301"/>
      <c r="DC29" s="301"/>
      <c r="DD29" s="301"/>
      <c r="DE29" s="301"/>
      <c r="DF29" s="301"/>
      <c r="DG29" s="301"/>
      <c r="DH29" s="301"/>
      <c r="DI29" s="301"/>
      <c r="DJ29" s="301"/>
      <c r="DK29" s="301"/>
      <c r="DL29" s="301"/>
      <c r="DM29" s="301"/>
      <c r="DN29" s="301"/>
      <c r="DO29" s="301"/>
      <c r="DP29" s="301"/>
      <c r="DQ29" s="301"/>
      <c r="DR29" s="301"/>
      <c r="DS29" s="301"/>
      <c r="DT29" s="301"/>
      <c r="DU29" s="301"/>
      <c r="DV29" s="301"/>
      <c r="DW29" s="301"/>
      <c r="DX29" s="301"/>
      <c r="DY29" s="301"/>
      <c r="DZ29" s="301"/>
      <c r="EA29" s="301"/>
      <c r="EB29" s="301"/>
      <c r="EC29" s="301"/>
      <c r="ED29" s="301"/>
      <c r="EE29" s="301"/>
      <c r="EF29" s="301"/>
      <c r="EG29" s="301"/>
      <c r="EH29" s="301"/>
      <c r="EI29" s="301"/>
      <c r="EJ29" s="301"/>
      <c r="EK29" s="301"/>
      <c r="EL29" s="301"/>
      <c r="EM29" s="301"/>
      <c r="EN29" s="301"/>
      <c r="EO29" s="301"/>
      <c r="EP29" s="301"/>
      <c r="EQ29" s="301"/>
      <c r="ER29" s="301"/>
      <c r="ES29" s="301"/>
      <c r="ET29" s="301"/>
      <c r="EU29" s="301"/>
      <c r="EV29" s="301"/>
      <c r="EW29" s="301"/>
      <c r="EX29" s="301"/>
      <c r="EY29" s="301"/>
      <c r="EZ29" s="301"/>
      <c r="FA29" s="301"/>
      <c r="FB29" s="301"/>
      <c r="FC29" s="301"/>
      <c r="FD29" s="301"/>
      <c r="FE29" s="301"/>
      <c r="FF29" s="301"/>
      <c r="FG29" s="301"/>
      <c r="FH29" s="301"/>
      <c r="FI29" s="301"/>
      <c r="FJ29" s="301"/>
      <c r="FK29" s="301"/>
      <c r="FL29" s="301"/>
      <c r="FM29" s="301"/>
      <c r="FN29" s="301"/>
      <c r="FO29" s="301"/>
      <c r="FP29" s="301"/>
      <c r="FQ29" s="301"/>
      <c r="FR29" s="301"/>
      <c r="FS29" s="301"/>
      <c r="FT29" s="301"/>
      <c r="FU29" s="301"/>
      <c r="FV29" s="301"/>
      <c r="FW29" s="301"/>
      <c r="FX29" s="301"/>
      <c r="FY29" s="301"/>
      <c r="FZ29" s="301"/>
      <c r="GA29" s="301"/>
      <c r="GB29" s="301"/>
      <c r="GC29" s="301"/>
      <c r="GD29" s="301"/>
      <c r="GE29" s="301"/>
      <c r="GF29" s="301"/>
      <c r="GG29" s="301"/>
      <c r="GH29" s="301"/>
      <c r="GI29" s="301"/>
      <c r="GJ29" s="301"/>
      <c r="GK29" s="301"/>
      <c r="GL29" s="301"/>
      <c r="GM29" s="301"/>
      <c r="GN29" s="301"/>
      <c r="GO29" s="301"/>
      <c r="GP29" s="301"/>
      <c r="GQ29" s="301"/>
      <c r="GR29" s="301"/>
      <c r="GS29" s="301"/>
      <c r="GT29" s="301"/>
      <c r="GU29" s="301"/>
      <c r="GV29" s="301"/>
      <c r="GW29" s="301"/>
      <c r="GX29" s="301"/>
      <c r="GY29" s="301"/>
    </row>
    <row r="30" spans="1:207" s="302" customFormat="1">
      <c r="A30" s="368" t="s">
        <v>1001</v>
      </c>
      <c r="B30" s="701" t="s">
        <v>1015</v>
      </c>
      <c r="C30" s="633"/>
      <c r="D30" s="681"/>
      <c r="E30" s="19"/>
      <c r="F30" s="19"/>
      <c r="G30" s="19"/>
      <c r="H30" s="19"/>
      <c r="I30" s="1361">
        <v>33714.879999999997</v>
      </c>
      <c r="J30" s="852"/>
      <c r="K30" s="827"/>
      <c r="L30" s="828"/>
      <c r="M30" s="1380">
        <v>40</v>
      </c>
      <c r="N30" s="827">
        <f t="shared" si="3"/>
        <v>2.5</v>
      </c>
      <c r="O30" s="828">
        <f t="shared" si="4"/>
        <v>842.87199999999996</v>
      </c>
      <c r="P30" s="1437"/>
      <c r="Q30" s="1437"/>
      <c r="R30" s="1437"/>
      <c r="S30" s="1437"/>
      <c r="T30" s="1437"/>
      <c r="U30" s="1437"/>
      <c r="V30" s="1437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301"/>
      <c r="BM30" s="301"/>
      <c r="BN30" s="301"/>
      <c r="BO30" s="301"/>
      <c r="BP30" s="301"/>
      <c r="BQ30" s="301"/>
      <c r="BR30" s="301"/>
      <c r="BS30" s="301"/>
      <c r="BT30" s="301"/>
      <c r="BU30" s="301"/>
      <c r="BV30" s="301"/>
      <c r="BW30" s="301"/>
      <c r="BX30" s="301"/>
      <c r="BY30" s="301"/>
      <c r="BZ30" s="301"/>
      <c r="CA30" s="301"/>
      <c r="CB30" s="301"/>
      <c r="CC30" s="301"/>
      <c r="CD30" s="301"/>
      <c r="CE30" s="301"/>
      <c r="CF30" s="301"/>
      <c r="CG30" s="301"/>
      <c r="CH30" s="301"/>
      <c r="CI30" s="301"/>
      <c r="CJ30" s="301"/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1"/>
      <c r="CY30" s="301"/>
      <c r="CZ30" s="301"/>
      <c r="DA30" s="301"/>
      <c r="DB30" s="301"/>
      <c r="DC30" s="301"/>
      <c r="DD30" s="301"/>
      <c r="DE30" s="301"/>
      <c r="DF30" s="301"/>
      <c r="DG30" s="301"/>
      <c r="DH30" s="301"/>
      <c r="DI30" s="301"/>
      <c r="DJ30" s="301"/>
      <c r="DK30" s="301"/>
      <c r="DL30" s="301"/>
      <c r="DM30" s="301"/>
      <c r="DN30" s="301"/>
      <c r="DO30" s="301"/>
      <c r="DP30" s="301"/>
      <c r="DQ30" s="301"/>
      <c r="DR30" s="301"/>
      <c r="DS30" s="301"/>
      <c r="DT30" s="301"/>
      <c r="DU30" s="301"/>
      <c r="DV30" s="301"/>
      <c r="DW30" s="301"/>
      <c r="DX30" s="301"/>
      <c r="DY30" s="301"/>
      <c r="DZ30" s="301"/>
      <c r="EA30" s="301"/>
      <c r="EB30" s="301"/>
      <c r="EC30" s="301"/>
      <c r="ED30" s="301"/>
      <c r="EE30" s="301"/>
      <c r="EF30" s="301"/>
      <c r="EG30" s="301"/>
      <c r="EH30" s="301"/>
      <c r="EI30" s="301"/>
      <c r="EJ30" s="301"/>
      <c r="EK30" s="301"/>
      <c r="EL30" s="301"/>
      <c r="EM30" s="301"/>
      <c r="EN30" s="301"/>
      <c r="EO30" s="301"/>
      <c r="EP30" s="301"/>
      <c r="EQ30" s="301"/>
      <c r="ER30" s="301"/>
      <c r="ES30" s="301"/>
      <c r="ET30" s="301"/>
      <c r="EU30" s="301"/>
      <c r="EV30" s="301"/>
      <c r="EW30" s="301"/>
      <c r="EX30" s="301"/>
      <c r="EY30" s="301"/>
      <c r="EZ30" s="301"/>
      <c r="FA30" s="301"/>
      <c r="FB30" s="301"/>
      <c r="FC30" s="301"/>
      <c r="FD30" s="301"/>
      <c r="FE30" s="301"/>
      <c r="FF30" s="301"/>
      <c r="FG30" s="301"/>
      <c r="FH30" s="301"/>
      <c r="FI30" s="301"/>
      <c r="FJ30" s="301"/>
      <c r="FK30" s="301"/>
      <c r="FL30" s="301"/>
      <c r="FM30" s="301"/>
      <c r="FN30" s="301"/>
      <c r="FO30" s="301"/>
      <c r="FP30" s="301"/>
      <c r="FQ30" s="301"/>
      <c r="FR30" s="301"/>
      <c r="FS30" s="301"/>
      <c r="FT30" s="301"/>
      <c r="FU30" s="301"/>
      <c r="FV30" s="301"/>
      <c r="FW30" s="301"/>
      <c r="FX30" s="301"/>
      <c r="FY30" s="301"/>
      <c r="FZ30" s="301"/>
      <c r="GA30" s="301"/>
      <c r="GB30" s="301"/>
      <c r="GC30" s="301"/>
      <c r="GD30" s="301"/>
      <c r="GE30" s="301"/>
      <c r="GF30" s="301"/>
      <c r="GG30" s="301"/>
      <c r="GH30" s="301"/>
      <c r="GI30" s="301"/>
      <c r="GJ30" s="301"/>
      <c r="GK30" s="301"/>
      <c r="GL30" s="301"/>
      <c r="GM30" s="301"/>
      <c r="GN30" s="301"/>
      <c r="GO30" s="301"/>
      <c r="GP30" s="301"/>
      <c r="GQ30" s="301"/>
      <c r="GR30" s="301"/>
      <c r="GS30" s="301"/>
      <c r="GT30" s="301"/>
      <c r="GU30" s="301"/>
      <c r="GV30" s="301"/>
      <c r="GW30" s="301"/>
      <c r="GX30" s="301"/>
      <c r="GY30" s="301"/>
    </row>
    <row r="31" spans="1:207" s="302" customFormat="1">
      <c r="A31" s="368" t="s">
        <v>1002</v>
      </c>
      <c r="B31" s="701" t="s">
        <v>1016</v>
      </c>
      <c r="C31" s="633"/>
      <c r="D31" s="681"/>
      <c r="E31" s="19"/>
      <c r="F31" s="19"/>
      <c r="G31" s="19"/>
      <c r="H31" s="19"/>
      <c r="I31" s="1361">
        <v>9100.73</v>
      </c>
      <c r="J31" s="852"/>
      <c r="K31" s="827"/>
      <c r="L31" s="828"/>
      <c r="M31" s="1380">
        <v>40</v>
      </c>
      <c r="N31" s="827">
        <f t="shared" si="3"/>
        <v>2.5</v>
      </c>
      <c r="O31" s="828">
        <f t="shared" si="4"/>
        <v>227.51824999999997</v>
      </c>
      <c r="P31" s="1437"/>
      <c r="Q31" s="1437"/>
      <c r="R31" s="1437"/>
      <c r="S31" s="1437"/>
      <c r="T31" s="1437"/>
      <c r="U31" s="1437"/>
      <c r="V31" s="1437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301"/>
      <c r="CA31" s="301"/>
      <c r="CB31" s="301"/>
      <c r="CC31" s="301"/>
      <c r="CD31" s="301"/>
      <c r="CE31" s="301"/>
      <c r="CF31" s="301"/>
      <c r="CG31" s="301"/>
      <c r="CH31" s="301"/>
      <c r="CI31" s="301"/>
      <c r="CJ31" s="301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1"/>
      <c r="DO31" s="301"/>
      <c r="DP31" s="301"/>
      <c r="DQ31" s="301"/>
      <c r="DR31" s="301"/>
      <c r="DS31" s="301"/>
      <c r="DT31" s="301"/>
      <c r="DU31" s="301"/>
      <c r="DV31" s="301"/>
      <c r="DW31" s="301"/>
      <c r="DX31" s="301"/>
      <c r="DY31" s="301"/>
      <c r="DZ31" s="301"/>
      <c r="EA31" s="301"/>
      <c r="EB31" s="301"/>
      <c r="EC31" s="301"/>
      <c r="ED31" s="301"/>
      <c r="EE31" s="301"/>
      <c r="EF31" s="301"/>
      <c r="EG31" s="301"/>
      <c r="EH31" s="301"/>
      <c r="EI31" s="301"/>
      <c r="EJ31" s="301"/>
      <c r="EK31" s="301"/>
      <c r="EL31" s="301"/>
      <c r="EM31" s="301"/>
      <c r="EN31" s="301"/>
      <c r="EO31" s="301"/>
      <c r="EP31" s="301"/>
      <c r="EQ31" s="301"/>
      <c r="ER31" s="301"/>
      <c r="ES31" s="301"/>
      <c r="ET31" s="301"/>
      <c r="EU31" s="301"/>
      <c r="EV31" s="301"/>
      <c r="EW31" s="301"/>
      <c r="EX31" s="301"/>
      <c r="EY31" s="301"/>
      <c r="EZ31" s="301"/>
      <c r="FA31" s="301"/>
      <c r="FB31" s="301"/>
      <c r="FC31" s="301"/>
      <c r="FD31" s="301"/>
      <c r="FE31" s="301"/>
      <c r="FF31" s="301"/>
      <c r="FG31" s="301"/>
      <c r="FH31" s="301"/>
      <c r="FI31" s="301"/>
      <c r="FJ31" s="301"/>
      <c r="FK31" s="301"/>
      <c r="FL31" s="301"/>
      <c r="FM31" s="301"/>
      <c r="FN31" s="301"/>
      <c r="FO31" s="301"/>
      <c r="FP31" s="301"/>
      <c r="FQ31" s="301"/>
      <c r="FR31" s="301"/>
      <c r="FS31" s="301"/>
      <c r="FT31" s="301"/>
      <c r="FU31" s="301"/>
      <c r="FV31" s="301"/>
      <c r="FW31" s="301"/>
      <c r="FX31" s="301"/>
      <c r="FY31" s="301"/>
      <c r="FZ31" s="301"/>
      <c r="GA31" s="301"/>
      <c r="GB31" s="301"/>
      <c r="GC31" s="301"/>
      <c r="GD31" s="301"/>
      <c r="GE31" s="301"/>
      <c r="GF31" s="301"/>
      <c r="GG31" s="301"/>
      <c r="GH31" s="301"/>
      <c r="GI31" s="301"/>
      <c r="GJ31" s="301"/>
      <c r="GK31" s="301"/>
      <c r="GL31" s="301"/>
      <c r="GM31" s="301"/>
      <c r="GN31" s="301"/>
      <c r="GO31" s="301"/>
      <c r="GP31" s="301"/>
      <c r="GQ31" s="301"/>
      <c r="GR31" s="301"/>
      <c r="GS31" s="301"/>
      <c r="GT31" s="301"/>
      <c r="GU31" s="301"/>
      <c r="GV31" s="301"/>
      <c r="GW31" s="301"/>
      <c r="GX31" s="301"/>
      <c r="GY31" s="301"/>
    </row>
    <row r="32" spans="1:207" s="302" customFormat="1">
      <c r="A32" s="368" t="s">
        <v>1003</v>
      </c>
      <c r="B32" s="701" t="s">
        <v>1017</v>
      </c>
      <c r="C32" s="633"/>
      <c r="D32" s="681"/>
      <c r="E32" s="19"/>
      <c r="F32" s="19"/>
      <c r="G32" s="19"/>
      <c r="H32" s="19"/>
      <c r="I32" s="1361">
        <v>24269.5</v>
      </c>
      <c r="J32" s="852"/>
      <c r="K32" s="827"/>
      <c r="L32" s="828"/>
      <c r="M32" s="1380">
        <v>40</v>
      </c>
      <c r="N32" s="827">
        <f t="shared" si="3"/>
        <v>2.5</v>
      </c>
      <c r="O32" s="828">
        <f t="shared" si="4"/>
        <v>606.73749999999995</v>
      </c>
      <c r="P32" s="1437"/>
      <c r="Q32" s="1437"/>
      <c r="R32" s="1437"/>
      <c r="S32" s="1437"/>
      <c r="T32" s="1437"/>
      <c r="U32" s="1437"/>
      <c r="V32" s="1437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301"/>
      <c r="BL32" s="301"/>
      <c r="BM32" s="301"/>
      <c r="BN32" s="301"/>
      <c r="BO32" s="301"/>
      <c r="BP32" s="301"/>
      <c r="BQ32" s="301"/>
      <c r="BR32" s="301"/>
      <c r="BS32" s="301"/>
      <c r="BT32" s="301"/>
      <c r="BU32" s="301"/>
      <c r="BV32" s="301"/>
      <c r="BW32" s="301"/>
      <c r="BX32" s="301"/>
      <c r="BY32" s="301"/>
      <c r="BZ32" s="301"/>
      <c r="CA32" s="301"/>
      <c r="CB32" s="301"/>
      <c r="CC32" s="301"/>
      <c r="CD32" s="301"/>
      <c r="CE32" s="301"/>
      <c r="CF32" s="301"/>
      <c r="CG32" s="301"/>
      <c r="CH32" s="301"/>
      <c r="CI32" s="301"/>
      <c r="CJ32" s="301"/>
      <c r="CK32" s="301"/>
      <c r="CL32" s="301"/>
      <c r="CM32" s="301"/>
      <c r="CN32" s="301"/>
      <c r="CO32" s="301"/>
      <c r="CP32" s="301"/>
      <c r="CQ32" s="301"/>
      <c r="CR32" s="301"/>
      <c r="CS32" s="301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1"/>
      <c r="DE32" s="301"/>
      <c r="DF32" s="301"/>
      <c r="DG32" s="301"/>
      <c r="DH32" s="301"/>
      <c r="DI32" s="301"/>
      <c r="DJ32" s="301"/>
      <c r="DK32" s="301"/>
      <c r="DL32" s="301"/>
      <c r="DM32" s="301"/>
      <c r="DN32" s="301"/>
      <c r="DO32" s="301"/>
      <c r="DP32" s="301"/>
      <c r="DQ32" s="301"/>
      <c r="DR32" s="301"/>
      <c r="DS32" s="301"/>
      <c r="DT32" s="301"/>
      <c r="DU32" s="301"/>
      <c r="DV32" s="301"/>
      <c r="DW32" s="301"/>
      <c r="DX32" s="301"/>
      <c r="DY32" s="301"/>
      <c r="DZ32" s="301"/>
      <c r="EA32" s="301"/>
      <c r="EB32" s="301"/>
      <c r="EC32" s="301"/>
      <c r="ED32" s="301"/>
      <c r="EE32" s="301"/>
      <c r="EF32" s="301"/>
      <c r="EG32" s="301"/>
      <c r="EH32" s="301"/>
      <c r="EI32" s="301"/>
      <c r="EJ32" s="301"/>
      <c r="EK32" s="301"/>
      <c r="EL32" s="301"/>
      <c r="EM32" s="301"/>
      <c r="EN32" s="301"/>
      <c r="EO32" s="301"/>
      <c r="EP32" s="301"/>
      <c r="EQ32" s="301"/>
      <c r="ER32" s="301"/>
      <c r="ES32" s="301"/>
      <c r="ET32" s="301"/>
      <c r="EU32" s="301"/>
      <c r="EV32" s="301"/>
      <c r="EW32" s="301"/>
      <c r="EX32" s="301"/>
      <c r="EY32" s="301"/>
      <c r="EZ32" s="301"/>
      <c r="FA32" s="301"/>
      <c r="FB32" s="301"/>
      <c r="FC32" s="301"/>
      <c r="FD32" s="301"/>
      <c r="FE32" s="301"/>
      <c r="FF32" s="301"/>
      <c r="FG32" s="301"/>
      <c r="FH32" s="301"/>
      <c r="FI32" s="301"/>
      <c r="FJ32" s="301"/>
      <c r="FK32" s="301"/>
      <c r="FL32" s="301"/>
      <c r="FM32" s="301"/>
      <c r="FN32" s="301"/>
      <c r="FO32" s="301"/>
      <c r="FP32" s="301"/>
      <c r="FQ32" s="301"/>
      <c r="FR32" s="301"/>
      <c r="FS32" s="301"/>
      <c r="FT32" s="301"/>
      <c r="FU32" s="301"/>
      <c r="FV32" s="301"/>
      <c r="FW32" s="301"/>
      <c r="FX32" s="301"/>
      <c r="FY32" s="301"/>
      <c r="FZ32" s="301"/>
      <c r="GA32" s="301"/>
      <c r="GB32" s="301"/>
      <c r="GC32" s="301"/>
      <c r="GD32" s="301"/>
      <c r="GE32" s="301"/>
      <c r="GF32" s="301"/>
      <c r="GG32" s="301"/>
      <c r="GH32" s="301"/>
      <c r="GI32" s="301"/>
      <c r="GJ32" s="301"/>
      <c r="GK32" s="301"/>
      <c r="GL32" s="301"/>
      <c r="GM32" s="301"/>
      <c r="GN32" s="301"/>
      <c r="GO32" s="301"/>
      <c r="GP32" s="301"/>
      <c r="GQ32" s="301"/>
      <c r="GR32" s="301"/>
      <c r="GS32" s="301"/>
      <c r="GT32" s="301"/>
      <c r="GU32" s="301"/>
      <c r="GV32" s="301"/>
      <c r="GW32" s="301"/>
      <c r="GX32" s="301"/>
      <c r="GY32" s="301"/>
    </row>
    <row r="33" spans="1:207" s="302" customFormat="1">
      <c r="A33" s="368" t="s">
        <v>1004</v>
      </c>
      <c r="B33" s="701" t="s">
        <v>1018</v>
      </c>
      <c r="C33" s="633"/>
      <c r="D33" s="681"/>
      <c r="E33" s="19"/>
      <c r="F33" s="19"/>
      <c r="G33" s="19"/>
      <c r="H33" s="19"/>
      <c r="I33" s="1361">
        <v>439275.59488275863</v>
      </c>
      <c r="J33" s="852"/>
      <c r="K33" s="827"/>
      <c r="L33" s="828"/>
      <c r="M33" s="1380">
        <v>40</v>
      </c>
      <c r="N33" s="827">
        <f t="shared" si="3"/>
        <v>2.5</v>
      </c>
      <c r="O33" s="828">
        <f t="shared" si="4"/>
        <v>10981.889872068965</v>
      </c>
      <c r="P33" s="1437"/>
      <c r="Q33" s="1437"/>
      <c r="R33" s="1437"/>
      <c r="S33" s="1437"/>
      <c r="T33" s="1437"/>
      <c r="U33" s="1437"/>
      <c r="V33" s="1437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1"/>
      <c r="BS33" s="301"/>
      <c r="BT33" s="301"/>
      <c r="BU33" s="301"/>
      <c r="BV33" s="301"/>
      <c r="BW33" s="301"/>
      <c r="BX33" s="301"/>
      <c r="BY33" s="301"/>
      <c r="BZ33" s="301"/>
      <c r="CA33" s="301"/>
      <c r="CB33" s="301"/>
      <c r="CC33" s="301"/>
      <c r="CD33" s="301"/>
      <c r="CE33" s="301"/>
      <c r="CF33" s="301"/>
      <c r="CG33" s="301"/>
      <c r="CH33" s="301"/>
      <c r="CI33" s="301"/>
      <c r="CJ33" s="301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1"/>
      <c r="DM33" s="301"/>
      <c r="DN33" s="301"/>
      <c r="DO33" s="301"/>
      <c r="DP33" s="301"/>
      <c r="DQ33" s="301"/>
      <c r="DR33" s="301"/>
      <c r="DS33" s="301"/>
      <c r="DT33" s="301"/>
      <c r="DU33" s="301"/>
      <c r="DV33" s="301"/>
      <c r="DW33" s="301"/>
      <c r="DX33" s="301"/>
      <c r="DY33" s="301"/>
      <c r="DZ33" s="301"/>
      <c r="EA33" s="301"/>
      <c r="EB33" s="301"/>
      <c r="EC33" s="301"/>
      <c r="ED33" s="301"/>
      <c r="EE33" s="301"/>
      <c r="EF33" s="301"/>
      <c r="EG33" s="301"/>
      <c r="EH33" s="301"/>
      <c r="EI33" s="301"/>
      <c r="EJ33" s="301"/>
      <c r="EK33" s="301"/>
      <c r="EL33" s="301"/>
      <c r="EM33" s="301"/>
      <c r="EN33" s="301"/>
      <c r="EO33" s="301"/>
      <c r="EP33" s="301"/>
      <c r="EQ33" s="301"/>
      <c r="ER33" s="301"/>
      <c r="ES33" s="301"/>
      <c r="ET33" s="301"/>
      <c r="EU33" s="301"/>
      <c r="EV33" s="301"/>
      <c r="EW33" s="301"/>
      <c r="EX33" s="301"/>
      <c r="EY33" s="301"/>
      <c r="EZ33" s="301"/>
      <c r="FA33" s="301"/>
      <c r="FB33" s="301"/>
      <c r="FC33" s="301"/>
      <c r="FD33" s="301"/>
      <c r="FE33" s="301"/>
      <c r="FF33" s="301"/>
      <c r="FG33" s="301"/>
      <c r="FH33" s="301"/>
      <c r="FI33" s="301"/>
      <c r="FJ33" s="301"/>
      <c r="FK33" s="301"/>
      <c r="FL33" s="301"/>
      <c r="FM33" s="301"/>
      <c r="FN33" s="301"/>
      <c r="FO33" s="301"/>
      <c r="FP33" s="301"/>
      <c r="FQ33" s="301"/>
      <c r="FR33" s="301"/>
      <c r="FS33" s="301"/>
      <c r="FT33" s="301"/>
      <c r="FU33" s="301"/>
      <c r="FV33" s="301"/>
      <c r="FW33" s="301"/>
      <c r="FX33" s="301"/>
      <c r="FY33" s="301"/>
      <c r="FZ33" s="301"/>
      <c r="GA33" s="301"/>
      <c r="GB33" s="301"/>
      <c r="GC33" s="301"/>
      <c r="GD33" s="301"/>
      <c r="GE33" s="301"/>
      <c r="GF33" s="301"/>
      <c r="GG33" s="301"/>
      <c r="GH33" s="301"/>
      <c r="GI33" s="301"/>
      <c r="GJ33" s="301"/>
      <c r="GK33" s="301"/>
      <c r="GL33" s="301"/>
      <c r="GM33" s="301"/>
      <c r="GN33" s="301"/>
      <c r="GO33" s="301"/>
      <c r="GP33" s="301"/>
      <c r="GQ33" s="301"/>
      <c r="GR33" s="301"/>
      <c r="GS33" s="301"/>
      <c r="GT33" s="301"/>
      <c r="GU33" s="301"/>
      <c r="GV33" s="301"/>
      <c r="GW33" s="301"/>
      <c r="GX33" s="301"/>
      <c r="GY33" s="301"/>
    </row>
    <row r="34" spans="1:207" s="302" customFormat="1" ht="13.8" customHeight="1">
      <c r="A34" s="368" t="s">
        <v>1005</v>
      </c>
      <c r="B34" s="701" t="s">
        <v>1228</v>
      </c>
      <c r="C34" s="633"/>
      <c r="D34" s="681"/>
      <c r="E34" s="19"/>
      <c r="F34" s="19"/>
      <c r="G34" s="19"/>
      <c r="H34" s="19"/>
      <c r="I34" s="1361">
        <f>112517+2700</f>
        <v>115217</v>
      </c>
      <c r="J34" s="852"/>
      <c r="K34" s="827"/>
      <c r="L34" s="828"/>
      <c r="M34" s="1380">
        <v>20</v>
      </c>
      <c r="N34" s="827">
        <f t="shared" si="3"/>
        <v>5</v>
      </c>
      <c r="O34" s="828">
        <f t="shared" si="4"/>
        <v>5760.85</v>
      </c>
      <c r="P34" s="1437"/>
      <c r="Q34" s="1437"/>
      <c r="R34" s="1437"/>
      <c r="S34" s="1437"/>
      <c r="T34" s="1437"/>
      <c r="U34" s="1437"/>
      <c r="V34" s="1437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301"/>
      <c r="BO34" s="301"/>
      <c r="BP34" s="301"/>
      <c r="BQ34" s="301"/>
      <c r="BR34" s="301"/>
      <c r="BS34" s="301"/>
      <c r="BT34" s="301"/>
      <c r="BU34" s="301"/>
      <c r="BV34" s="301"/>
      <c r="BW34" s="301"/>
      <c r="BX34" s="301"/>
      <c r="BY34" s="301"/>
      <c r="BZ34" s="301"/>
      <c r="CA34" s="301"/>
      <c r="CB34" s="301"/>
      <c r="CC34" s="301"/>
      <c r="CD34" s="301"/>
      <c r="CE34" s="301"/>
      <c r="CF34" s="301"/>
      <c r="CG34" s="301"/>
      <c r="CH34" s="301"/>
      <c r="CI34" s="301"/>
      <c r="CJ34" s="301"/>
      <c r="CK34" s="301"/>
      <c r="CL34" s="301"/>
      <c r="CM34" s="301"/>
      <c r="CN34" s="301"/>
      <c r="CO34" s="301"/>
      <c r="CP34" s="301"/>
      <c r="CQ34" s="301"/>
      <c r="CR34" s="301"/>
      <c r="CS34" s="301"/>
      <c r="CT34" s="301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301"/>
      <c r="DF34" s="301"/>
      <c r="DG34" s="301"/>
      <c r="DH34" s="301"/>
      <c r="DI34" s="301"/>
      <c r="DJ34" s="301"/>
      <c r="DK34" s="301"/>
      <c r="DL34" s="301"/>
      <c r="DM34" s="301"/>
      <c r="DN34" s="301"/>
      <c r="DO34" s="301"/>
      <c r="DP34" s="301"/>
      <c r="DQ34" s="301"/>
      <c r="DR34" s="301"/>
      <c r="DS34" s="301"/>
      <c r="DT34" s="301"/>
      <c r="DU34" s="301"/>
      <c r="DV34" s="301"/>
      <c r="DW34" s="301"/>
      <c r="DX34" s="301"/>
      <c r="DY34" s="301"/>
      <c r="DZ34" s="301"/>
      <c r="EA34" s="301"/>
      <c r="EB34" s="301"/>
      <c r="EC34" s="301"/>
      <c r="ED34" s="301"/>
      <c r="EE34" s="301"/>
      <c r="EF34" s="301"/>
      <c r="EG34" s="301"/>
      <c r="EH34" s="301"/>
      <c r="EI34" s="301"/>
      <c r="EJ34" s="301"/>
      <c r="EK34" s="301"/>
      <c r="EL34" s="301"/>
      <c r="EM34" s="301"/>
      <c r="EN34" s="301"/>
      <c r="EO34" s="301"/>
      <c r="EP34" s="301"/>
      <c r="EQ34" s="301"/>
      <c r="ER34" s="301"/>
      <c r="ES34" s="301"/>
      <c r="ET34" s="301"/>
      <c r="EU34" s="301"/>
      <c r="EV34" s="301"/>
      <c r="EW34" s="301"/>
      <c r="EX34" s="301"/>
      <c r="EY34" s="301"/>
      <c r="EZ34" s="301"/>
      <c r="FA34" s="301"/>
      <c r="FB34" s="301"/>
      <c r="FC34" s="301"/>
      <c r="FD34" s="301"/>
      <c r="FE34" s="301"/>
      <c r="FF34" s="301"/>
      <c r="FG34" s="301"/>
      <c r="FH34" s="301"/>
      <c r="FI34" s="301"/>
      <c r="FJ34" s="301"/>
      <c r="FK34" s="301"/>
      <c r="FL34" s="301"/>
      <c r="FM34" s="301"/>
      <c r="FN34" s="301"/>
      <c r="FO34" s="301"/>
      <c r="FP34" s="301"/>
      <c r="FQ34" s="301"/>
      <c r="FR34" s="301"/>
      <c r="FS34" s="301"/>
      <c r="FT34" s="301"/>
      <c r="FU34" s="301"/>
      <c r="FV34" s="301"/>
      <c r="FW34" s="301"/>
      <c r="FX34" s="301"/>
      <c r="FY34" s="301"/>
      <c r="FZ34" s="301"/>
      <c r="GA34" s="301"/>
      <c r="GB34" s="301"/>
      <c r="GC34" s="301"/>
      <c r="GD34" s="301"/>
      <c r="GE34" s="301"/>
      <c r="GF34" s="301"/>
      <c r="GG34" s="301"/>
      <c r="GH34" s="301"/>
      <c r="GI34" s="301"/>
      <c r="GJ34" s="301"/>
      <c r="GK34" s="301"/>
      <c r="GL34" s="301"/>
      <c r="GM34" s="301"/>
      <c r="GN34" s="301"/>
      <c r="GO34" s="301"/>
      <c r="GP34" s="301"/>
      <c r="GQ34" s="301"/>
      <c r="GR34" s="301"/>
      <c r="GS34" s="301"/>
      <c r="GT34" s="301"/>
      <c r="GU34" s="301"/>
      <c r="GV34" s="301"/>
      <c r="GW34" s="301"/>
      <c r="GX34" s="301"/>
      <c r="GY34" s="301"/>
    </row>
    <row r="35" spans="1:207" s="302" customFormat="1">
      <c r="A35" s="368" t="s">
        <v>1006</v>
      </c>
      <c r="B35" s="701" t="s">
        <v>1019</v>
      </c>
      <c r="C35" s="633"/>
      <c r="D35" s="681"/>
      <c r="E35" s="19"/>
      <c r="F35" s="19"/>
      <c r="G35" s="19"/>
      <c r="H35" s="19"/>
      <c r="I35" s="1361">
        <v>65793.47619999999</v>
      </c>
      <c r="J35" s="852"/>
      <c r="K35" s="827"/>
      <c r="L35" s="828"/>
      <c r="M35" s="1380">
        <v>40</v>
      </c>
      <c r="N35" s="827">
        <f t="shared" si="3"/>
        <v>2.5</v>
      </c>
      <c r="O35" s="828">
        <f t="shared" si="4"/>
        <v>1644.8369049999997</v>
      </c>
      <c r="P35" s="1437"/>
      <c r="Q35" s="1437"/>
      <c r="R35" s="1437"/>
      <c r="S35" s="1437"/>
      <c r="T35" s="1437"/>
      <c r="U35" s="1437"/>
      <c r="V35" s="1437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1"/>
      <c r="BS35" s="301"/>
      <c r="BT35" s="301"/>
      <c r="BU35" s="301"/>
      <c r="BV35" s="301"/>
      <c r="BW35" s="301"/>
      <c r="BX35" s="301"/>
      <c r="BY35" s="301"/>
      <c r="BZ35" s="301"/>
      <c r="CA35" s="301"/>
      <c r="CB35" s="301"/>
      <c r="CC35" s="301"/>
      <c r="CD35" s="301"/>
      <c r="CE35" s="301"/>
      <c r="CF35" s="301"/>
      <c r="CG35" s="301"/>
      <c r="CH35" s="301"/>
      <c r="CI35" s="301"/>
      <c r="CJ35" s="301"/>
      <c r="CK35" s="301"/>
      <c r="CL35" s="301"/>
      <c r="CM35" s="301"/>
      <c r="CN35" s="301"/>
      <c r="CO35" s="301"/>
      <c r="CP35" s="301"/>
      <c r="CQ35" s="301"/>
      <c r="CR35" s="301"/>
      <c r="CS35" s="301"/>
      <c r="CT35" s="301"/>
      <c r="CU35" s="301"/>
      <c r="CV35" s="301"/>
      <c r="CW35" s="301"/>
      <c r="CX35" s="301"/>
      <c r="CY35" s="301"/>
      <c r="CZ35" s="301"/>
      <c r="DA35" s="301"/>
      <c r="DB35" s="301"/>
      <c r="DC35" s="301"/>
      <c r="DD35" s="301"/>
      <c r="DE35" s="301"/>
      <c r="DF35" s="301"/>
      <c r="DG35" s="301"/>
      <c r="DH35" s="301"/>
      <c r="DI35" s="301"/>
      <c r="DJ35" s="301"/>
      <c r="DK35" s="301"/>
      <c r="DL35" s="301"/>
      <c r="DM35" s="301"/>
      <c r="DN35" s="301"/>
      <c r="DO35" s="301"/>
      <c r="DP35" s="301"/>
      <c r="DQ35" s="301"/>
      <c r="DR35" s="301"/>
      <c r="DS35" s="301"/>
      <c r="DT35" s="301"/>
      <c r="DU35" s="301"/>
      <c r="DV35" s="301"/>
      <c r="DW35" s="301"/>
      <c r="DX35" s="301"/>
      <c r="DY35" s="301"/>
      <c r="DZ35" s="301"/>
      <c r="EA35" s="301"/>
      <c r="EB35" s="301"/>
      <c r="EC35" s="301"/>
      <c r="ED35" s="301"/>
      <c r="EE35" s="301"/>
      <c r="EF35" s="301"/>
      <c r="EG35" s="301"/>
      <c r="EH35" s="301"/>
      <c r="EI35" s="301"/>
      <c r="EJ35" s="301"/>
      <c r="EK35" s="301"/>
      <c r="EL35" s="301"/>
      <c r="EM35" s="301"/>
      <c r="EN35" s="301"/>
      <c r="EO35" s="301"/>
      <c r="EP35" s="301"/>
      <c r="EQ35" s="301"/>
      <c r="ER35" s="301"/>
      <c r="ES35" s="301"/>
      <c r="ET35" s="301"/>
      <c r="EU35" s="301"/>
      <c r="EV35" s="301"/>
      <c r="EW35" s="301"/>
      <c r="EX35" s="301"/>
      <c r="EY35" s="301"/>
      <c r="EZ35" s="301"/>
      <c r="FA35" s="301"/>
      <c r="FB35" s="301"/>
      <c r="FC35" s="301"/>
      <c r="FD35" s="301"/>
      <c r="FE35" s="301"/>
      <c r="FF35" s="301"/>
      <c r="FG35" s="301"/>
      <c r="FH35" s="301"/>
      <c r="FI35" s="301"/>
      <c r="FJ35" s="301"/>
      <c r="FK35" s="301"/>
      <c r="FL35" s="301"/>
      <c r="FM35" s="301"/>
      <c r="FN35" s="301"/>
      <c r="FO35" s="301"/>
      <c r="FP35" s="301"/>
      <c r="FQ35" s="301"/>
      <c r="FR35" s="301"/>
      <c r="FS35" s="301"/>
      <c r="FT35" s="301"/>
      <c r="FU35" s="301"/>
      <c r="FV35" s="301"/>
      <c r="FW35" s="301"/>
      <c r="FX35" s="301"/>
      <c r="FY35" s="301"/>
      <c r="FZ35" s="301"/>
      <c r="GA35" s="301"/>
      <c r="GB35" s="301"/>
      <c r="GC35" s="301"/>
      <c r="GD35" s="301"/>
      <c r="GE35" s="301"/>
      <c r="GF35" s="301"/>
      <c r="GG35" s="301"/>
      <c r="GH35" s="301"/>
      <c r="GI35" s="301"/>
      <c r="GJ35" s="301"/>
      <c r="GK35" s="301"/>
      <c r="GL35" s="301"/>
      <c r="GM35" s="301"/>
      <c r="GN35" s="301"/>
      <c r="GO35" s="301"/>
      <c r="GP35" s="301"/>
      <c r="GQ35" s="301"/>
      <c r="GR35" s="301"/>
      <c r="GS35" s="301"/>
      <c r="GT35" s="301"/>
      <c r="GU35" s="301"/>
      <c r="GV35" s="301"/>
      <c r="GW35" s="301"/>
      <c r="GX35" s="301"/>
      <c r="GY35" s="301"/>
    </row>
    <row r="36" spans="1:207" s="302" customFormat="1">
      <c r="A36" s="368" t="s">
        <v>1007</v>
      </c>
      <c r="B36" s="701" t="s">
        <v>1020</v>
      </c>
      <c r="C36" s="633"/>
      <c r="D36" s="681"/>
      <c r="E36" s="19"/>
      <c r="F36" s="19"/>
      <c r="G36" s="19"/>
      <c r="H36" s="19"/>
      <c r="I36" s="1361">
        <v>0</v>
      </c>
      <c r="J36" s="852"/>
      <c r="K36" s="827"/>
      <c r="L36" s="828"/>
      <c r="M36" s="1380">
        <v>10</v>
      </c>
      <c r="N36" s="827">
        <f t="shared" si="3"/>
        <v>10</v>
      </c>
      <c r="O36" s="828">
        <f t="shared" si="4"/>
        <v>0</v>
      </c>
      <c r="P36" s="1437"/>
      <c r="Q36" s="1437"/>
      <c r="R36" s="1437"/>
      <c r="S36" s="1437"/>
      <c r="T36" s="1437"/>
      <c r="U36" s="1437"/>
      <c r="V36" s="1437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301"/>
      <c r="BL36" s="301"/>
      <c r="BM36" s="301"/>
      <c r="BN36" s="301"/>
      <c r="BO36" s="301"/>
      <c r="BP36" s="301"/>
      <c r="BQ36" s="301"/>
      <c r="BR36" s="301"/>
      <c r="BS36" s="301"/>
      <c r="BT36" s="301"/>
      <c r="BU36" s="301"/>
      <c r="BV36" s="301"/>
      <c r="BW36" s="301"/>
      <c r="BX36" s="301"/>
      <c r="BY36" s="301"/>
      <c r="BZ36" s="301"/>
      <c r="CA36" s="301"/>
      <c r="CB36" s="301"/>
      <c r="CC36" s="301"/>
      <c r="CD36" s="301"/>
      <c r="CE36" s="301"/>
      <c r="CF36" s="301"/>
      <c r="CG36" s="301"/>
      <c r="CH36" s="301"/>
      <c r="CI36" s="301"/>
      <c r="CJ36" s="301"/>
      <c r="CK36" s="301"/>
      <c r="CL36" s="301"/>
      <c r="CM36" s="301"/>
      <c r="CN36" s="301"/>
      <c r="CO36" s="301"/>
      <c r="CP36" s="301"/>
      <c r="CQ36" s="301"/>
      <c r="CR36" s="301"/>
      <c r="CS36" s="301"/>
      <c r="CT36" s="301"/>
      <c r="CU36" s="301"/>
      <c r="CV36" s="301"/>
      <c r="CW36" s="301"/>
      <c r="CX36" s="301"/>
      <c r="CY36" s="301"/>
      <c r="CZ36" s="301"/>
      <c r="DA36" s="301"/>
      <c r="DB36" s="301"/>
      <c r="DC36" s="301"/>
      <c r="DD36" s="301"/>
      <c r="DE36" s="301"/>
      <c r="DF36" s="301"/>
      <c r="DG36" s="301"/>
      <c r="DH36" s="301"/>
      <c r="DI36" s="301"/>
      <c r="DJ36" s="301"/>
      <c r="DK36" s="301"/>
      <c r="DL36" s="301"/>
      <c r="DM36" s="301"/>
      <c r="DN36" s="301"/>
      <c r="DO36" s="301"/>
      <c r="DP36" s="301"/>
      <c r="DQ36" s="301"/>
      <c r="DR36" s="301"/>
      <c r="DS36" s="301"/>
      <c r="DT36" s="301"/>
      <c r="DU36" s="301"/>
      <c r="DV36" s="301"/>
      <c r="DW36" s="301"/>
      <c r="DX36" s="301"/>
      <c r="DY36" s="301"/>
      <c r="DZ36" s="301"/>
      <c r="EA36" s="301"/>
      <c r="EB36" s="301"/>
      <c r="EC36" s="301"/>
      <c r="ED36" s="301"/>
      <c r="EE36" s="301"/>
      <c r="EF36" s="301"/>
      <c r="EG36" s="301"/>
      <c r="EH36" s="301"/>
      <c r="EI36" s="301"/>
      <c r="EJ36" s="301"/>
      <c r="EK36" s="301"/>
      <c r="EL36" s="301"/>
      <c r="EM36" s="301"/>
      <c r="EN36" s="301"/>
      <c r="EO36" s="301"/>
      <c r="EP36" s="301"/>
      <c r="EQ36" s="301"/>
      <c r="ER36" s="301"/>
      <c r="ES36" s="301"/>
      <c r="ET36" s="301"/>
      <c r="EU36" s="301"/>
      <c r="EV36" s="301"/>
      <c r="EW36" s="301"/>
      <c r="EX36" s="301"/>
      <c r="EY36" s="301"/>
      <c r="EZ36" s="301"/>
      <c r="FA36" s="301"/>
      <c r="FB36" s="301"/>
      <c r="FC36" s="301"/>
      <c r="FD36" s="301"/>
      <c r="FE36" s="301"/>
      <c r="FF36" s="301"/>
      <c r="FG36" s="301"/>
      <c r="FH36" s="301"/>
      <c r="FI36" s="301"/>
      <c r="FJ36" s="301"/>
      <c r="FK36" s="301"/>
      <c r="FL36" s="301"/>
      <c r="FM36" s="301"/>
      <c r="FN36" s="301"/>
      <c r="FO36" s="301"/>
      <c r="FP36" s="301"/>
      <c r="FQ36" s="301"/>
      <c r="FR36" s="301"/>
      <c r="FS36" s="301"/>
      <c r="FT36" s="301"/>
      <c r="FU36" s="301"/>
      <c r="FV36" s="301"/>
      <c r="FW36" s="301"/>
      <c r="FX36" s="301"/>
      <c r="FY36" s="301"/>
      <c r="FZ36" s="301"/>
      <c r="GA36" s="301"/>
      <c r="GB36" s="301"/>
      <c r="GC36" s="301"/>
      <c r="GD36" s="301"/>
      <c r="GE36" s="301"/>
      <c r="GF36" s="301"/>
      <c r="GG36" s="301"/>
      <c r="GH36" s="301"/>
      <c r="GI36" s="301"/>
      <c r="GJ36" s="301"/>
      <c r="GK36" s="301"/>
      <c r="GL36" s="301"/>
      <c r="GM36" s="301"/>
      <c r="GN36" s="301"/>
      <c r="GO36" s="301"/>
      <c r="GP36" s="301"/>
      <c r="GQ36" s="301"/>
      <c r="GR36" s="301"/>
      <c r="GS36" s="301"/>
      <c r="GT36" s="301"/>
      <c r="GU36" s="301"/>
      <c r="GV36" s="301"/>
      <c r="GW36" s="301"/>
      <c r="GX36" s="301"/>
      <c r="GY36" s="301"/>
    </row>
    <row r="37" spans="1:207" s="302" customFormat="1">
      <c r="A37" s="368" t="s">
        <v>1008</v>
      </c>
      <c r="B37" s="701" t="s">
        <v>1021</v>
      </c>
      <c r="C37" s="633"/>
      <c r="D37" s="681"/>
      <c r="E37" s="19"/>
      <c r="F37" s="19"/>
      <c r="G37" s="19"/>
      <c r="H37" s="19"/>
      <c r="I37" s="1361">
        <v>0</v>
      </c>
      <c r="J37" s="852"/>
      <c r="K37" s="827"/>
      <c r="L37" s="828"/>
      <c r="M37" s="1380">
        <v>10</v>
      </c>
      <c r="N37" s="827">
        <f t="shared" si="3"/>
        <v>10</v>
      </c>
      <c r="O37" s="828">
        <f t="shared" si="4"/>
        <v>0</v>
      </c>
      <c r="P37" s="1437"/>
      <c r="Q37" s="1437"/>
      <c r="R37" s="1437"/>
      <c r="S37" s="1437"/>
      <c r="T37" s="1437"/>
      <c r="U37" s="1437"/>
      <c r="V37" s="1437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1"/>
      <c r="BS37" s="301"/>
      <c r="BT37" s="301"/>
      <c r="BU37" s="301"/>
      <c r="BV37" s="301"/>
      <c r="BW37" s="301"/>
      <c r="BX37" s="301"/>
      <c r="BY37" s="301"/>
      <c r="BZ37" s="301"/>
      <c r="CA37" s="301"/>
      <c r="CB37" s="301"/>
      <c r="CC37" s="301"/>
      <c r="CD37" s="301"/>
      <c r="CE37" s="301"/>
      <c r="CF37" s="301"/>
      <c r="CG37" s="301"/>
      <c r="CH37" s="301"/>
      <c r="CI37" s="301"/>
      <c r="CJ37" s="301"/>
      <c r="CK37" s="301"/>
      <c r="CL37" s="301"/>
      <c r="CM37" s="301"/>
      <c r="CN37" s="301"/>
      <c r="CO37" s="301"/>
      <c r="CP37" s="301"/>
      <c r="CQ37" s="301"/>
      <c r="CR37" s="301"/>
      <c r="CS37" s="301"/>
      <c r="CT37" s="301"/>
      <c r="CU37" s="301"/>
      <c r="CV37" s="301"/>
      <c r="CW37" s="301"/>
      <c r="CX37" s="301"/>
      <c r="CY37" s="301"/>
      <c r="CZ37" s="301"/>
      <c r="DA37" s="301"/>
      <c r="DB37" s="301"/>
      <c r="DC37" s="301"/>
      <c r="DD37" s="301"/>
      <c r="DE37" s="301"/>
      <c r="DF37" s="301"/>
      <c r="DG37" s="301"/>
      <c r="DH37" s="301"/>
      <c r="DI37" s="301"/>
      <c r="DJ37" s="301"/>
      <c r="DK37" s="301"/>
      <c r="DL37" s="301"/>
      <c r="DM37" s="301"/>
      <c r="DN37" s="301"/>
      <c r="DO37" s="301"/>
      <c r="DP37" s="301"/>
      <c r="DQ37" s="301"/>
      <c r="DR37" s="301"/>
      <c r="DS37" s="301"/>
      <c r="DT37" s="301"/>
      <c r="DU37" s="301"/>
      <c r="DV37" s="301"/>
      <c r="DW37" s="301"/>
      <c r="DX37" s="301"/>
      <c r="DY37" s="301"/>
      <c r="DZ37" s="301"/>
      <c r="EA37" s="301"/>
      <c r="EB37" s="301"/>
      <c r="EC37" s="301"/>
      <c r="ED37" s="301"/>
      <c r="EE37" s="301"/>
      <c r="EF37" s="301"/>
      <c r="EG37" s="301"/>
      <c r="EH37" s="301"/>
      <c r="EI37" s="301"/>
      <c r="EJ37" s="301"/>
      <c r="EK37" s="301"/>
      <c r="EL37" s="301"/>
      <c r="EM37" s="301"/>
      <c r="EN37" s="301"/>
      <c r="EO37" s="301"/>
      <c r="EP37" s="301"/>
      <c r="EQ37" s="301"/>
      <c r="ER37" s="301"/>
      <c r="ES37" s="301"/>
      <c r="ET37" s="301"/>
      <c r="EU37" s="301"/>
      <c r="EV37" s="301"/>
      <c r="EW37" s="301"/>
      <c r="EX37" s="301"/>
      <c r="EY37" s="301"/>
      <c r="EZ37" s="301"/>
      <c r="FA37" s="301"/>
      <c r="FB37" s="301"/>
      <c r="FC37" s="301"/>
      <c r="FD37" s="301"/>
      <c r="FE37" s="301"/>
      <c r="FF37" s="301"/>
      <c r="FG37" s="301"/>
      <c r="FH37" s="301"/>
      <c r="FI37" s="301"/>
      <c r="FJ37" s="301"/>
      <c r="FK37" s="301"/>
      <c r="FL37" s="301"/>
      <c r="FM37" s="301"/>
      <c r="FN37" s="301"/>
      <c r="FO37" s="301"/>
      <c r="FP37" s="301"/>
      <c r="FQ37" s="301"/>
      <c r="FR37" s="301"/>
      <c r="FS37" s="301"/>
      <c r="FT37" s="301"/>
      <c r="FU37" s="301"/>
      <c r="FV37" s="301"/>
      <c r="FW37" s="301"/>
      <c r="FX37" s="301"/>
      <c r="FY37" s="301"/>
      <c r="FZ37" s="301"/>
      <c r="GA37" s="301"/>
      <c r="GB37" s="301"/>
      <c r="GC37" s="301"/>
      <c r="GD37" s="301"/>
      <c r="GE37" s="301"/>
      <c r="GF37" s="301"/>
      <c r="GG37" s="301"/>
      <c r="GH37" s="301"/>
      <c r="GI37" s="301"/>
      <c r="GJ37" s="301"/>
      <c r="GK37" s="301"/>
      <c r="GL37" s="301"/>
      <c r="GM37" s="301"/>
      <c r="GN37" s="301"/>
      <c r="GO37" s="301"/>
      <c r="GP37" s="301"/>
      <c r="GQ37" s="301"/>
      <c r="GR37" s="301"/>
      <c r="GS37" s="301"/>
      <c r="GT37" s="301"/>
      <c r="GU37" s="301"/>
      <c r="GV37" s="301"/>
      <c r="GW37" s="301"/>
      <c r="GX37" s="301"/>
      <c r="GY37" s="301"/>
    </row>
    <row r="38" spans="1:207" s="302" customFormat="1">
      <c r="A38" s="368" t="s">
        <v>1009</v>
      </c>
      <c r="B38" s="701" t="s">
        <v>1022</v>
      </c>
      <c r="C38" s="633"/>
      <c r="D38" s="681"/>
      <c r="E38" s="19"/>
      <c r="F38" s="19"/>
      <c r="G38" s="19"/>
      <c r="H38" s="19"/>
      <c r="I38" s="1361">
        <v>150000</v>
      </c>
      <c r="J38" s="852"/>
      <c r="K38" s="827"/>
      <c r="L38" s="828"/>
      <c r="M38" s="1380">
        <v>15</v>
      </c>
      <c r="N38" s="827">
        <f t="shared" si="3"/>
        <v>6.666666666666667</v>
      </c>
      <c r="O38" s="828">
        <f t="shared" si="4"/>
        <v>10000</v>
      </c>
      <c r="P38" s="1437"/>
      <c r="Q38" s="1437"/>
      <c r="R38" s="1437"/>
      <c r="S38" s="1437"/>
      <c r="T38" s="1437"/>
      <c r="U38" s="1437"/>
      <c r="V38" s="1437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301"/>
      <c r="BL38" s="301"/>
      <c r="BM38" s="301"/>
      <c r="BN38" s="301"/>
      <c r="BO38" s="301"/>
      <c r="BP38" s="301"/>
      <c r="BQ38" s="301"/>
      <c r="BR38" s="301"/>
      <c r="BS38" s="301"/>
      <c r="BT38" s="301"/>
      <c r="BU38" s="301"/>
      <c r="BV38" s="301"/>
      <c r="BW38" s="301"/>
      <c r="BX38" s="301"/>
      <c r="BY38" s="301"/>
      <c r="BZ38" s="301"/>
      <c r="CA38" s="301"/>
      <c r="CB38" s="301"/>
      <c r="CC38" s="301"/>
      <c r="CD38" s="301"/>
      <c r="CE38" s="301"/>
      <c r="CF38" s="301"/>
      <c r="CG38" s="301"/>
      <c r="CH38" s="301"/>
      <c r="CI38" s="301"/>
      <c r="CJ38" s="301"/>
      <c r="CK38" s="301"/>
      <c r="CL38" s="301"/>
      <c r="CM38" s="301"/>
      <c r="CN38" s="301"/>
      <c r="CO38" s="301"/>
      <c r="CP38" s="301"/>
      <c r="CQ38" s="301"/>
      <c r="CR38" s="301"/>
      <c r="CS38" s="301"/>
      <c r="CT38" s="301"/>
      <c r="CU38" s="301"/>
      <c r="CV38" s="301"/>
      <c r="CW38" s="301"/>
      <c r="CX38" s="301"/>
      <c r="CY38" s="301"/>
      <c r="CZ38" s="301"/>
      <c r="DA38" s="301"/>
      <c r="DB38" s="301"/>
      <c r="DC38" s="301"/>
      <c r="DD38" s="301"/>
      <c r="DE38" s="301"/>
      <c r="DF38" s="301"/>
      <c r="DG38" s="301"/>
      <c r="DH38" s="301"/>
      <c r="DI38" s="301"/>
      <c r="DJ38" s="301"/>
      <c r="DK38" s="301"/>
      <c r="DL38" s="301"/>
      <c r="DM38" s="301"/>
      <c r="DN38" s="301"/>
      <c r="DO38" s="301"/>
      <c r="DP38" s="301"/>
      <c r="DQ38" s="301"/>
      <c r="DR38" s="301"/>
      <c r="DS38" s="301"/>
      <c r="DT38" s="301"/>
      <c r="DU38" s="301"/>
      <c r="DV38" s="301"/>
      <c r="DW38" s="301"/>
      <c r="DX38" s="301"/>
      <c r="DY38" s="301"/>
      <c r="DZ38" s="301"/>
      <c r="EA38" s="301"/>
      <c r="EB38" s="301"/>
      <c r="EC38" s="301"/>
      <c r="ED38" s="301"/>
      <c r="EE38" s="301"/>
      <c r="EF38" s="301"/>
      <c r="EG38" s="301"/>
      <c r="EH38" s="301"/>
      <c r="EI38" s="301"/>
      <c r="EJ38" s="301"/>
      <c r="EK38" s="301"/>
      <c r="EL38" s="301"/>
      <c r="EM38" s="301"/>
      <c r="EN38" s="301"/>
      <c r="EO38" s="301"/>
      <c r="EP38" s="301"/>
      <c r="EQ38" s="301"/>
      <c r="ER38" s="301"/>
      <c r="ES38" s="301"/>
      <c r="ET38" s="301"/>
      <c r="EU38" s="301"/>
      <c r="EV38" s="301"/>
      <c r="EW38" s="301"/>
      <c r="EX38" s="301"/>
      <c r="EY38" s="301"/>
      <c r="EZ38" s="301"/>
      <c r="FA38" s="301"/>
      <c r="FB38" s="301"/>
      <c r="FC38" s="301"/>
      <c r="FD38" s="301"/>
      <c r="FE38" s="301"/>
      <c r="FF38" s="301"/>
      <c r="FG38" s="301"/>
      <c r="FH38" s="301"/>
      <c r="FI38" s="301"/>
      <c r="FJ38" s="301"/>
      <c r="FK38" s="301"/>
      <c r="FL38" s="301"/>
      <c r="FM38" s="301"/>
      <c r="FN38" s="301"/>
      <c r="FO38" s="301"/>
      <c r="FP38" s="301"/>
      <c r="FQ38" s="301"/>
      <c r="FR38" s="301"/>
      <c r="FS38" s="301"/>
      <c r="FT38" s="301"/>
      <c r="FU38" s="301"/>
      <c r="FV38" s="301"/>
      <c r="FW38" s="301"/>
      <c r="FX38" s="301"/>
      <c r="FY38" s="301"/>
      <c r="FZ38" s="301"/>
      <c r="GA38" s="301"/>
      <c r="GB38" s="301"/>
      <c r="GC38" s="301"/>
      <c r="GD38" s="301"/>
      <c r="GE38" s="301"/>
      <c r="GF38" s="301"/>
      <c r="GG38" s="301"/>
      <c r="GH38" s="301"/>
      <c r="GI38" s="301"/>
      <c r="GJ38" s="301"/>
      <c r="GK38" s="301"/>
      <c r="GL38" s="301"/>
      <c r="GM38" s="301"/>
      <c r="GN38" s="301"/>
      <c r="GO38" s="301"/>
      <c r="GP38" s="301"/>
      <c r="GQ38" s="301"/>
      <c r="GR38" s="301"/>
      <c r="GS38" s="301"/>
      <c r="GT38" s="301"/>
      <c r="GU38" s="301"/>
      <c r="GV38" s="301"/>
      <c r="GW38" s="301"/>
      <c r="GX38" s="301"/>
      <c r="GY38" s="301"/>
    </row>
    <row r="39" spans="1:207" s="302" customFormat="1">
      <c r="A39" s="368" t="s">
        <v>1010</v>
      </c>
      <c r="B39" s="701" t="s">
        <v>1223</v>
      </c>
      <c r="C39" s="633"/>
      <c r="D39" s="681"/>
      <c r="E39" s="19"/>
      <c r="F39" s="19"/>
      <c r="G39" s="19"/>
      <c r="H39" s="19"/>
      <c r="I39" s="1361">
        <f>120000*0</f>
        <v>0</v>
      </c>
      <c r="J39" s="852"/>
      <c r="K39" s="827"/>
      <c r="L39" s="828"/>
      <c r="M39" s="1378">
        <v>50</v>
      </c>
      <c r="N39" s="827">
        <f t="shared" ref="N39:N44" si="5">100/M39</f>
        <v>2</v>
      </c>
      <c r="O39" s="828">
        <f t="shared" ref="O39:O44" si="6">I39*N39/100</f>
        <v>0</v>
      </c>
      <c r="P39" s="1437"/>
      <c r="Q39" s="1437"/>
      <c r="R39" s="1437"/>
      <c r="S39" s="1437"/>
      <c r="T39" s="1437"/>
      <c r="U39" s="1437"/>
      <c r="V39" s="1437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1"/>
      <c r="BS39" s="301"/>
      <c r="BT39" s="301"/>
      <c r="BU39" s="301"/>
      <c r="BV39" s="301"/>
      <c r="BW39" s="301"/>
      <c r="BX39" s="301"/>
      <c r="BY39" s="301"/>
      <c r="BZ39" s="301"/>
      <c r="CA39" s="301"/>
      <c r="CB39" s="301"/>
      <c r="CC39" s="301"/>
      <c r="CD39" s="301"/>
      <c r="CE39" s="301"/>
      <c r="CF39" s="301"/>
      <c r="CG39" s="301"/>
      <c r="CH39" s="301"/>
      <c r="CI39" s="301"/>
      <c r="CJ39" s="301"/>
      <c r="CK39" s="301"/>
      <c r="CL39" s="301"/>
      <c r="CM39" s="301"/>
      <c r="CN39" s="301"/>
      <c r="CO39" s="301"/>
      <c r="CP39" s="301"/>
      <c r="CQ39" s="301"/>
      <c r="CR39" s="301"/>
      <c r="CS39" s="301"/>
      <c r="CT39" s="301"/>
      <c r="CU39" s="301"/>
      <c r="CV39" s="301"/>
      <c r="CW39" s="301"/>
      <c r="CX39" s="301"/>
      <c r="CY39" s="301"/>
      <c r="CZ39" s="301"/>
      <c r="DA39" s="301"/>
      <c r="DB39" s="301"/>
      <c r="DC39" s="301"/>
      <c r="DD39" s="301"/>
      <c r="DE39" s="301"/>
      <c r="DF39" s="301"/>
      <c r="DG39" s="301"/>
      <c r="DH39" s="301"/>
      <c r="DI39" s="301"/>
      <c r="DJ39" s="301"/>
      <c r="DK39" s="301"/>
      <c r="DL39" s="301"/>
      <c r="DM39" s="301"/>
      <c r="DN39" s="301"/>
      <c r="DO39" s="301"/>
      <c r="DP39" s="301"/>
      <c r="DQ39" s="301"/>
      <c r="DR39" s="301"/>
      <c r="DS39" s="301"/>
      <c r="DT39" s="301"/>
      <c r="DU39" s="301"/>
      <c r="DV39" s="301"/>
      <c r="DW39" s="301"/>
      <c r="DX39" s="301"/>
      <c r="DY39" s="301"/>
      <c r="DZ39" s="301"/>
      <c r="EA39" s="301"/>
      <c r="EB39" s="301"/>
      <c r="EC39" s="301"/>
      <c r="ED39" s="301"/>
      <c r="EE39" s="301"/>
      <c r="EF39" s="301"/>
      <c r="EG39" s="301"/>
      <c r="EH39" s="301"/>
      <c r="EI39" s="301"/>
      <c r="EJ39" s="301"/>
      <c r="EK39" s="301"/>
      <c r="EL39" s="301"/>
      <c r="EM39" s="301"/>
      <c r="EN39" s="301"/>
      <c r="EO39" s="301"/>
      <c r="EP39" s="301"/>
      <c r="EQ39" s="301"/>
      <c r="ER39" s="301"/>
      <c r="ES39" s="301"/>
      <c r="ET39" s="301"/>
      <c r="EU39" s="301"/>
      <c r="EV39" s="301"/>
      <c r="EW39" s="301"/>
      <c r="EX39" s="301"/>
      <c r="EY39" s="301"/>
      <c r="EZ39" s="301"/>
      <c r="FA39" s="301"/>
      <c r="FB39" s="301"/>
      <c r="FC39" s="301"/>
      <c r="FD39" s="301"/>
      <c r="FE39" s="301"/>
      <c r="FF39" s="301"/>
      <c r="FG39" s="301"/>
      <c r="FH39" s="301"/>
      <c r="FI39" s="301"/>
      <c r="FJ39" s="301"/>
      <c r="FK39" s="301"/>
      <c r="FL39" s="301"/>
      <c r="FM39" s="301"/>
      <c r="FN39" s="301"/>
      <c r="FO39" s="301"/>
      <c r="FP39" s="301"/>
      <c r="FQ39" s="301"/>
      <c r="FR39" s="301"/>
      <c r="FS39" s="301"/>
      <c r="FT39" s="301"/>
      <c r="FU39" s="301"/>
      <c r="FV39" s="301"/>
      <c r="FW39" s="301"/>
      <c r="FX39" s="301"/>
      <c r="FY39" s="301"/>
      <c r="FZ39" s="301"/>
      <c r="GA39" s="301"/>
      <c r="GB39" s="301"/>
      <c r="GC39" s="301"/>
      <c r="GD39" s="301"/>
      <c r="GE39" s="301"/>
      <c r="GF39" s="301"/>
      <c r="GG39" s="301"/>
      <c r="GH39" s="301"/>
      <c r="GI39" s="301"/>
      <c r="GJ39" s="301"/>
      <c r="GK39" s="301"/>
      <c r="GL39" s="301"/>
      <c r="GM39" s="301"/>
      <c r="GN39" s="301"/>
      <c r="GO39" s="301"/>
      <c r="GP39" s="301"/>
      <c r="GQ39" s="301"/>
      <c r="GR39" s="301"/>
      <c r="GS39" s="301"/>
      <c r="GT39" s="301"/>
      <c r="GU39" s="301"/>
      <c r="GV39" s="301"/>
      <c r="GW39" s="301"/>
      <c r="GX39" s="301"/>
      <c r="GY39" s="301"/>
    </row>
    <row r="40" spans="1:207" s="302" customFormat="1" ht="26.4">
      <c r="A40" s="368" t="s">
        <v>1011</v>
      </c>
      <c r="B40" s="701" t="s">
        <v>1227</v>
      </c>
      <c r="C40" s="633"/>
      <c r="D40" s="681"/>
      <c r="E40" s="19"/>
      <c r="F40" s="19"/>
      <c r="G40" s="19"/>
      <c r="H40" s="19"/>
      <c r="I40" s="1361">
        <f>850*120</f>
        <v>102000</v>
      </c>
      <c r="J40" s="852"/>
      <c r="K40" s="827"/>
      <c r="L40" s="828"/>
      <c r="M40" s="1378">
        <v>40</v>
      </c>
      <c r="N40" s="827">
        <f t="shared" si="5"/>
        <v>2.5</v>
      </c>
      <c r="O40" s="828">
        <f t="shared" si="6"/>
        <v>2550</v>
      </c>
      <c r="P40" s="1437"/>
      <c r="Q40" s="1437"/>
      <c r="R40" s="1437"/>
      <c r="S40" s="1437"/>
      <c r="T40" s="1437"/>
      <c r="U40" s="1437"/>
      <c r="V40" s="1437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301"/>
      <c r="BL40" s="301"/>
      <c r="BM40" s="301"/>
      <c r="BN40" s="301"/>
      <c r="BO40" s="301"/>
      <c r="BP40" s="301"/>
      <c r="BQ40" s="301"/>
      <c r="BR40" s="301"/>
      <c r="BS40" s="301"/>
      <c r="BT40" s="301"/>
      <c r="BU40" s="301"/>
      <c r="BV40" s="301"/>
      <c r="BW40" s="301"/>
      <c r="BX40" s="301"/>
      <c r="BY40" s="301"/>
      <c r="BZ40" s="301"/>
      <c r="CA40" s="301"/>
      <c r="CB40" s="301"/>
      <c r="CC40" s="301"/>
      <c r="CD40" s="301"/>
      <c r="CE40" s="301"/>
      <c r="CF40" s="301"/>
      <c r="CG40" s="301"/>
      <c r="CH40" s="301"/>
      <c r="CI40" s="301"/>
      <c r="CJ40" s="301"/>
      <c r="CK40" s="301"/>
      <c r="CL40" s="301"/>
      <c r="CM40" s="301"/>
      <c r="CN40" s="301"/>
      <c r="CO40" s="301"/>
      <c r="CP40" s="301"/>
      <c r="CQ40" s="301"/>
      <c r="CR40" s="301"/>
      <c r="CS40" s="301"/>
      <c r="CT40" s="301"/>
      <c r="CU40" s="301"/>
      <c r="CV40" s="301"/>
      <c r="CW40" s="301"/>
      <c r="CX40" s="301"/>
      <c r="CY40" s="301"/>
      <c r="CZ40" s="301"/>
      <c r="DA40" s="301"/>
      <c r="DB40" s="301"/>
      <c r="DC40" s="301"/>
      <c r="DD40" s="301"/>
      <c r="DE40" s="301"/>
      <c r="DF40" s="301"/>
      <c r="DG40" s="301"/>
      <c r="DH40" s="301"/>
      <c r="DI40" s="301"/>
      <c r="DJ40" s="301"/>
      <c r="DK40" s="301"/>
      <c r="DL40" s="301"/>
      <c r="DM40" s="301"/>
      <c r="DN40" s="301"/>
      <c r="DO40" s="301"/>
      <c r="DP40" s="301"/>
      <c r="DQ40" s="301"/>
      <c r="DR40" s="301"/>
      <c r="DS40" s="301"/>
      <c r="DT40" s="301"/>
      <c r="DU40" s="301"/>
      <c r="DV40" s="301"/>
      <c r="DW40" s="301"/>
      <c r="DX40" s="301"/>
      <c r="DY40" s="301"/>
      <c r="DZ40" s="301"/>
      <c r="EA40" s="301"/>
      <c r="EB40" s="301"/>
      <c r="EC40" s="301"/>
      <c r="ED40" s="301"/>
      <c r="EE40" s="301"/>
      <c r="EF40" s="301"/>
      <c r="EG40" s="301"/>
      <c r="EH40" s="301"/>
      <c r="EI40" s="301"/>
      <c r="EJ40" s="301"/>
      <c r="EK40" s="301"/>
      <c r="EL40" s="301"/>
      <c r="EM40" s="301"/>
      <c r="EN40" s="301"/>
      <c r="EO40" s="301"/>
      <c r="EP40" s="301"/>
      <c r="EQ40" s="301"/>
      <c r="ER40" s="301"/>
      <c r="ES40" s="301"/>
      <c r="ET40" s="301"/>
      <c r="EU40" s="301"/>
      <c r="EV40" s="301"/>
      <c r="EW40" s="301"/>
      <c r="EX40" s="301"/>
      <c r="EY40" s="301"/>
      <c r="EZ40" s="301"/>
      <c r="FA40" s="301"/>
      <c r="FB40" s="301"/>
      <c r="FC40" s="301"/>
      <c r="FD40" s="301"/>
      <c r="FE40" s="301"/>
      <c r="FF40" s="301"/>
      <c r="FG40" s="301"/>
      <c r="FH40" s="301"/>
      <c r="FI40" s="301"/>
      <c r="FJ40" s="301"/>
      <c r="FK40" s="301"/>
      <c r="FL40" s="301"/>
      <c r="FM40" s="301"/>
      <c r="FN40" s="301"/>
      <c r="FO40" s="301"/>
      <c r="FP40" s="301"/>
      <c r="FQ40" s="301"/>
      <c r="FR40" s="301"/>
      <c r="FS40" s="301"/>
      <c r="FT40" s="301"/>
      <c r="FU40" s="301"/>
      <c r="FV40" s="301"/>
      <c r="FW40" s="301"/>
      <c r="FX40" s="301"/>
      <c r="FY40" s="301"/>
      <c r="FZ40" s="301"/>
      <c r="GA40" s="301"/>
      <c r="GB40" s="301"/>
      <c r="GC40" s="301"/>
      <c r="GD40" s="301"/>
      <c r="GE40" s="301"/>
      <c r="GF40" s="301"/>
      <c r="GG40" s="301"/>
      <c r="GH40" s="301"/>
      <c r="GI40" s="301"/>
      <c r="GJ40" s="301"/>
      <c r="GK40" s="301"/>
      <c r="GL40" s="301"/>
      <c r="GM40" s="301"/>
      <c r="GN40" s="301"/>
      <c r="GO40" s="301"/>
      <c r="GP40" s="301"/>
      <c r="GQ40" s="301"/>
      <c r="GR40" s="301"/>
      <c r="GS40" s="301"/>
      <c r="GT40" s="301"/>
      <c r="GU40" s="301"/>
      <c r="GV40" s="301"/>
      <c r="GW40" s="301"/>
      <c r="GX40" s="301"/>
      <c r="GY40" s="301"/>
    </row>
    <row r="41" spans="1:207" s="302" customFormat="1">
      <c r="A41" s="368" t="s">
        <v>1204</v>
      </c>
      <c r="B41" s="701" t="s">
        <v>1224</v>
      </c>
      <c r="C41" s="633"/>
      <c r="D41" s="681"/>
      <c r="E41" s="19"/>
      <c r="F41" s="19"/>
      <c r="G41" s="19"/>
      <c r="H41" s="19"/>
      <c r="I41" s="1361">
        <f>130000*0</f>
        <v>0</v>
      </c>
      <c r="J41" s="852"/>
      <c r="K41" s="827"/>
      <c r="L41" s="828"/>
      <c r="M41" s="1378">
        <v>20</v>
      </c>
      <c r="N41" s="827">
        <f t="shared" si="5"/>
        <v>5</v>
      </c>
      <c r="O41" s="828">
        <f t="shared" si="6"/>
        <v>0</v>
      </c>
      <c r="P41" s="1437"/>
      <c r="Q41" s="1437"/>
      <c r="R41" s="1437"/>
      <c r="S41" s="1437"/>
      <c r="T41" s="1437"/>
      <c r="U41" s="1437"/>
      <c r="V41" s="1437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1"/>
      <c r="BS41" s="301"/>
      <c r="BT41" s="301"/>
      <c r="BU41" s="301"/>
      <c r="BV41" s="301"/>
      <c r="BW41" s="301"/>
      <c r="BX41" s="301"/>
      <c r="BY41" s="301"/>
      <c r="BZ41" s="301"/>
      <c r="CA41" s="301"/>
      <c r="CB41" s="301"/>
      <c r="CC41" s="301"/>
      <c r="CD41" s="301"/>
      <c r="CE41" s="301"/>
      <c r="CF41" s="301"/>
      <c r="CG41" s="301"/>
      <c r="CH41" s="301"/>
      <c r="CI41" s="301"/>
      <c r="CJ41" s="301"/>
      <c r="CK41" s="301"/>
      <c r="CL41" s="301"/>
      <c r="CM41" s="301"/>
      <c r="CN41" s="301"/>
      <c r="CO41" s="301"/>
      <c r="CP41" s="301"/>
      <c r="CQ41" s="301"/>
      <c r="CR41" s="301"/>
      <c r="CS41" s="301"/>
      <c r="CT41" s="301"/>
      <c r="CU41" s="301"/>
      <c r="CV41" s="301"/>
      <c r="CW41" s="301"/>
      <c r="CX41" s="301"/>
      <c r="CY41" s="301"/>
      <c r="CZ41" s="301"/>
      <c r="DA41" s="301"/>
      <c r="DB41" s="301"/>
      <c r="DC41" s="301"/>
      <c r="DD41" s="301"/>
      <c r="DE41" s="301"/>
      <c r="DF41" s="301"/>
      <c r="DG41" s="301"/>
      <c r="DH41" s="301"/>
      <c r="DI41" s="301"/>
      <c r="DJ41" s="301"/>
      <c r="DK41" s="301"/>
      <c r="DL41" s="301"/>
      <c r="DM41" s="301"/>
      <c r="DN41" s="301"/>
      <c r="DO41" s="301"/>
      <c r="DP41" s="301"/>
      <c r="DQ41" s="301"/>
      <c r="DR41" s="301"/>
      <c r="DS41" s="301"/>
      <c r="DT41" s="301"/>
      <c r="DU41" s="301"/>
      <c r="DV41" s="301"/>
      <c r="DW41" s="301"/>
      <c r="DX41" s="301"/>
      <c r="DY41" s="301"/>
      <c r="DZ41" s="301"/>
      <c r="EA41" s="301"/>
      <c r="EB41" s="301"/>
      <c r="EC41" s="301"/>
      <c r="ED41" s="301"/>
      <c r="EE41" s="301"/>
      <c r="EF41" s="301"/>
      <c r="EG41" s="301"/>
      <c r="EH41" s="301"/>
      <c r="EI41" s="301"/>
      <c r="EJ41" s="301"/>
      <c r="EK41" s="301"/>
      <c r="EL41" s="301"/>
      <c r="EM41" s="301"/>
      <c r="EN41" s="301"/>
      <c r="EO41" s="301"/>
      <c r="EP41" s="301"/>
      <c r="EQ41" s="301"/>
      <c r="ER41" s="301"/>
      <c r="ES41" s="301"/>
      <c r="ET41" s="301"/>
      <c r="EU41" s="301"/>
      <c r="EV41" s="301"/>
      <c r="EW41" s="301"/>
      <c r="EX41" s="301"/>
      <c r="EY41" s="301"/>
      <c r="EZ41" s="301"/>
      <c r="FA41" s="301"/>
      <c r="FB41" s="301"/>
      <c r="FC41" s="301"/>
      <c r="FD41" s="301"/>
      <c r="FE41" s="301"/>
      <c r="FF41" s="301"/>
      <c r="FG41" s="301"/>
      <c r="FH41" s="301"/>
      <c r="FI41" s="301"/>
      <c r="FJ41" s="301"/>
      <c r="FK41" s="301"/>
      <c r="FL41" s="301"/>
      <c r="FM41" s="301"/>
      <c r="FN41" s="301"/>
      <c r="FO41" s="301"/>
      <c r="FP41" s="301"/>
      <c r="FQ41" s="301"/>
      <c r="FR41" s="301"/>
      <c r="FS41" s="301"/>
      <c r="FT41" s="301"/>
      <c r="FU41" s="301"/>
      <c r="FV41" s="301"/>
      <c r="FW41" s="301"/>
      <c r="FX41" s="301"/>
      <c r="FY41" s="301"/>
      <c r="FZ41" s="301"/>
      <c r="GA41" s="301"/>
      <c r="GB41" s="301"/>
      <c r="GC41" s="301"/>
      <c r="GD41" s="301"/>
      <c r="GE41" s="301"/>
      <c r="GF41" s="301"/>
      <c r="GG41" s="301"/>
      <c r="GH41" s="301"/>
      <c r="GI41" s="301"/>
      <c r="GJ41" s="301"/>
      <c r="GK41" s="301"/>
      <c r="GL41" s="301"/>
      <c r="GM41" s="301"/>
      <c r="GN41" s="301"/>
      <c r="GO41" s="301"/>
      <c r="GP41" s="301"/>
      <c r="GQ41" s="301"/>
      <c r="GR41" s="301"/>
      <c r="GS41" s="301"/>
      <c r="GT41" s="301"/>
      <c r="GU41" s="301"/>
      <c r="GV41" s="301"/>
      <c r="GW41" s="301"/>
      <c r="GX41" s="301"/>
      <c r="GY41" s="301"/>
    </row>
    <row r="42" spans="1:207" s="302" customFormat="1">
      <c r="A42" s="368" t="s">
        <v>1205</v>
      </c>
      <c r="B42" s="701" t="s">
        <v>1225</v>
      </c>
      <c r="C42" s="633"/>
      <c r="D42" s="681"/>
      <c r="E42" s="19"/>
      <c r="F42" s="19"/>
      <c r="G42" s="19"/>
      <c r="H42" s="19"/>
      <c r="I42" s="1361">
        <f>120000*1</f>
        <v>120000</v>
      </c>
      <c r="J42" s="852"/>
      <c r="K42" s="827"/>
      <c r="L42" s="828"/>
      <c r="M42" s="1378">
        <v>50</v>
      </c>
      <c r="N42" s="827">
        <f t="shared" si="5"/>
        <v>2</v>
      </c>
      <c r="O42" s="828">
        <f t="shared" si="6"/>
        <v>2400</v>
      </c>
      <c r="P42" s="1437"/>
      <c r="Q42" s="1437"/>
      <c r="R42" s="1437"/>
      <c r="S42" s="1437"/>
      <c r="T42" s="1437"/>
      <c r="U42" s="1437"/>
      <c r="V42" s="1437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301"/>
      <c r="BL42" s="301"/>
      <c r="BM42" s="301"/>
      <c r="BN42" s="301"/>
      <c r="BO42" s="301"/>
      <c r="BP42" s="301"/>
      <c r="BQ42" s="301"/>
      <c r="BR42" s="301"/>
      <c r="BS42" s="301"/>
      <c r="BT42" s="301"/>
      <c r="BU42" s="301"/>
      <c r="BV42" s="301"/>
      <c r="BW42" s="301"/>
      <c r="BX42" s="301"/>
      <c r="BY42" s="301"/>
      <c r="BZ42" s="301"/>
      <c r="CA42" s="301"/>
      <c r="CB42" s="301"/>
      <c r="CC42" s="301"/>
      <c r="CD42" s="301"/>
      <c r="CE42" s="301"/>
      <c r="CF42" s="301"/>
      <c r="CG42" s="301"/>
      <c r="CH42" s="301"/>
      <c r="CI42" s="301"/>
      <c r="CJ42" s="301"/>
      <c r="CK42" s="301"/>
      <c r="CL42" s="301"/>
      <c r="CM42" s="301"/>
      <c r="CN42" s="301"/>
      <c r="CO42" s="301"/>
      <c r="CP42" s="301"/>
      <c r="CQ42" s="301"/>
      <c r="CR42" s="301"/>
      <c r="CS42" s="301"/>
      <c r="CT42" s="301"/>
      <c r="CU42" s="301"/>
      <c r="CV42" s="301"/>
      <c r="CW42" s="301"/>
      <c r="CX42" s="301"/>
      <c r="CY42" s="301"/>
      <c r="CZ42" s="301"/>
      <c r="DA42" s="301"/>
      <c r="DB42" s="301"/>
      <c r="DC42" s="301"/>
      <c r="DD42" s="301"/>
      <c r="DE42" s="301"/>
      <c r="DF42" s="301"/>
      <c r="DG42" s="301"/>
      <c r="DH42" s="301"/>
      <c r="DI42" s="301"/>
      <c r="DJ42" s="301"/>
      <c r="DK42" s="301"/>
      <c r="DL42" s="301"/>
      <c r="DM42" s="301"/>
      <c r="DN42" s="301"/>
      <c r="DO42" s="301"/>
      <c r="DP42" s="301"/>
      <c r="DQ42" s="301"/>
      <c r="DR42" s="301"/>
      <c r="DS42" s="301"/>
      <c r="DT42" s="301"/>
      <c r="DU42" s="301"/>
      <c r="DV42" s="301"/>
      <c r="DW42" s="301"/>
      <c r="DX42" s="301"/>
      <c r="DY42" s="301"/>
      <c r="DZ42" s="301"/>
      <c r="EA42" s="301"/>
      <c r="EB42" s="301"/>
      <c r="EC42" s="301"/>
      <c r="ED42" s="301"/>
      <c r="EE42" s="301"/>
      <c r="EF42" s="301"/>
      <c r="EG42" s="301"/>
      <c r="EH42" s="301"/>
      <c r="EI42" s="301"/>
      <c r="EJ42" s="301"/>
      <c r="EK42" s="301"/>
      <c r="EL42" s="301"/>
      <c r="EM42" s="301"/>
      <c r="EN42" s="301"/>
      <c r="EO42" s="301"/>
      <c r="EP42" s="301"/>
      <c r="EQ42" s="301"/>
      <c r="ER42" s="301"/>
      <c r="ES42" s="301"/>
      <c r="ET42" s="301"/>
      <c r="EU42" s="301"/>
      <c r="EV42" s="301"/>
      <c r="EW42" s="301"/>
      <c r="EX42" s="301"/>
      <c r="EY42" s="301"/>
      <c r="EZ42" s="301"/>
      <c r="FA42" s="301"/>
      <c r="FB42" s="301"/>
      <c r="FC42" s="301"/>
      <c r="FD42" s="301"/>
      <c r="FE42" s="301"/>
      <c r="FF42" s="301"/>
      <c r="FG42" s="301"/>
      <c r="FH42" s="301"/>
      <c r="FI42" s="301"/>
      <c r="FJ42" s="301"/>
      <c r="FK42" s="301"/>
      <c r="FL42" s="301"/>
      <c r="FM42" s="301"/>
      <c r="FN42" s="301"/>
      <c r="FO42" s="301"/>
      <c r="FP42" s="301"/>
      <c r="FQ42" s="301"/>
      <c r="FR42" s="301"/>
      <c r="FS42" s="301"/>
      <c r="FT42" s="301"/>
      <c r="FU42" s="301"/>
      <c r="FV42" s="301"/>
      <c r="FW42" s="301"/>
      <c r="FX42" s="301"/>
      <c r="FY42" s="301"/>
      <c r="FZ42" s="301"/>
      <c r="GA42" s="301"/>
      <c r="GB42" s="301"/>
      <c r="GC42" s="301"/>
      <c r="GD42" s="301"/>
      <c r="GE42" s="301"/>
      <c r="GF42" s="301"/>
      <c r="GG42" s="301"/>
      <c r="GH42" s="301"/>
      <c r="GI42" s="301"/>
      <c r="GJ42" s="301"/>
      <c r="GK42" s="301"/>
      <c r="GL42" s="301"/>
      <c r="GM42" s="301"/>
      <c r="GN42" s="301"/>
      <c r="GO42" s="301"/>
      <c r="GP42" s="301"/>
      <c r="GQ42" s="301"/>
      <c r="GR42" s="301"/>
      <c r="GS42" s="301"/>
      <c r="GT42" s="301"/>
      <c r="GU42" s="301"/>
      <c r="GV42" s="301"/>
      <c r="GW42" s="301"/>
      <c r="GX42" s="301"/>
      <c r="GY42" s="301"/>
    </row>
    <row r="43" spans="1:207" s="302" customFormat="1">
      <c r="A43" s="368" t="s">
        <v>1206</v>
      </c>
      <c r="B43" s="701" t="s">
        <v>1226</v>
      </c>
      <c r="C43" s="633"/>
      <c r="D43" s="681"/>
      <c r="E43" s="19"/>
      <c r="F43" s="19"/>
      <c r="G43" s="19"/>
      <c r="H43" s="19"/>
      <c r="I43" s="1361">
        <f>130000*1</f>
        <v>130000</v>
      </c>
      <c r="J43" s="852"/>
      <c r="K43" s="827"/>
      <c r="L43" s="828"/>
      <c r="M43" s="1378">
        <v>15</v>
      </c>
      <c r="N43" s="827">
        <f t="shared" si="5"/>
        <v>6.666666666666667</v>
      </c>
      <c r="O43" s="828">
        <f t="shared" si="6"/>
        <v>8666.6666666666679</v>
      </c>
      <c r="P43" s="1437"/>
      <c r="Q43" s="1437"/>
      <c r="R43" s="1437"/>
      <c r="S43" s="1437"/>
      <c r="T43" s="1437"/>
      <c r="U43" s="1437"/>
      <c r="V43" s="1437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1"/>
      <c r="BS43" s="301"/>
      <c r="BT43" s="301"/>
      <c r="BU43" s="301"/>
      <c r="BV43" s="301"/>
      <c r="BW43" s="301"/>
      <c r="BX43" s="301"/>
      <c r="BY43" s="301"/>
      <c r="BZ43" s="301"/>
      <c r="CA43" s="301"/>
      <c r="CB43" s="301"/>
      <c r="CC43" s="301"/>
      <c r="CD43" s="301"/>
      <c r="CE43" s="301"/>
      <c r="CF43" s="301"/>
      <c r="CG43" s="301"/>
      <c r="CH43" s="301"/>
      <c r="CI43" s="301"/>
      <c r="CJ43" s="301"/>
      <c r="CK43" s="301"/>
      <c r="CL43" s="301"/>
      <c r="CM43" s="301"/>
      <c r="CN43" s="301"/>
      <c r="CO43" s="301"/>
      <c r="CP43" s="301"/>
      <c r="CQ43" s="301"/>
      <c r="CR43" s="301"/>
      <c r="CS43" s="301"/>
      <c r="CT43" s="301"/>
      <c r="CU43" s="301"/>
      <c r="CV43" s="301"/>
      <c r="CW43" s="301"/>
      <c r="CX43" s="301"/>
      <c r="CY43" s="301"/>
      <c r="CZ43" s="301"/>
      <c r="DA43" s="301"/>
      <c r="DB43" s="301"/>
      <c r="DC43" s="301"/>
      <c r="DD43" s="301"/>
      <c r="DE43" s="301"/>
      <c r="DF43" s="301"/>
      <c r="DG43" s="301"/>
      <c r="DH43" s="301"/>
      <c r="DI43" s="301"/>
      <c r="DJ43" s="301"/>
      <c r="DK43" s="301"/>
      <c r="DL43" s="301"/>
      <c r="DM43" s="301"/>
      <c r="DN43" s="301"/>
      <c r="DO43" s="301"/>
      <c r="DP43" s="301"/>
      <c r="DQ43" s="301"/>
      <c r="DR43" s="301"/>
      <c r="DS43" s="301"/>
      <c r="DT43" s="301"/>
      <c r="DU43" s="301"/>
      <c r="DV43" s="301"/>
      <c r="DW43" s="301"/>
      <c r="DX43" s="301"/>
      <c r="DY43" s="301"/>
      <c r="DZ43" s="301"/>
      <c r="EA43" s="301"/>
      <c r="EB43" s="301"/>
      <c r="EC43" s="301"/>
      <c r="ED43" s="301"/>
      <c r="EE43" s="301"/>
      <c r="EF43" s="301"/>
      <c r="EG43" s="301"/>
      <c r="EH43" s="301"/>
      <c r="EI43" s="301"/>
      <c r="EJ43" s="301"/>
      <c r="EK43" s="301"/>
      <c r="EL43" s="301"/>
      <c r="EM43" s="301"/>
      <c r="EN43" s="301"/>
      <c r="EO43" s="301"/>
      <c r="EP43" s="301"/>
      <c r="EQ43" s="301"/>
      <c r="ER43" s="301"/>
      <c r="ES43" s="301"/>
      <c r="ET43" s="301"/>
      <c r="EU43" s="301"/>
      <c r="EV43" s="301"/>
      <c r="EW43" s="301"/>
      <c r="EX43" s="301"/>
      <c r="EY43" s="301"/>
      <c r="EZ43" s="301"/>
      <c r="FA43" s="301"/>
      <c r="FB43" s="301"/>
      <c r="FC43" s="301"/>
      <c r="FD43" s="301"/>
      <c r="FE43" s="301"/>
      <c r="FF43" s="301"/>
      <c r="FG43" s="301"/>
      <c r="FH43" s="301"/>
      <c r="FI43" s="301"/>
      <c r="FJ43" s="301"/>
      <c r="FK43" s="301"/>
      <c r="FL43" s="301"/>
      <c r="FM43" s="301"/>
      <c r="FN43" s="301"/>
      <c r="FO43" s="301"/>
      <c r="FP43" s="301"/>
      <c r="FQ43" s="301"/>
      <c r="FR43" s="301"/>
      <c r="FS43" s="301"/>
      <c r="FT43" s="301"/>
      <c r="FU43" s="301"/>
      <c r="FV43" s="301"/>
      <c r="FW43" s="301"/>
      <c r="FX43" s="301"/>
      <c r="FY43" s="301"/>
      <c r="FZ43" s="301"/>
      <c r="GA43" s="301"/>
      <c r="GB43" s="301"/>
      <c r="GC43" s="301"/>
      <c r="GD43" s="301"/>
      <c r="GE43" s="301"/>
      <c r="GF43" s="301"/>
      <c r="GG43" s="301"/>
      <c r="GH43" s="301"/>
      <c r="GI43" s="301"/>
      <c r="GJ43" s="301"/>
      <c r="GK43" s="301"/>
      <c r="GL43" s="301"/>
      <c r="GM43" s="301"/>
      <c r="GN43" s="301"/>
      <c r="GO43" s="301"/>
      <c r="GP43" s="301"/>
      <c r="GQ43" s="301"/>
      <c r="GR43" s="301"/>
      <c r="GS43" s="301"/>
      <c r="GT43" s="301"/>
      <c r="GU43" s="301"/>
      <c r="GV43" s="301"/>
      <c r="GW43" s="301"/>
      <c r="GX43" s="301"/>
      <c r="GY43" s="301"/>
    </row>
    <row r="44" spans="1:207" s="302" customFormat="1">
      <c r="A44" s="368" t="s">
        <v>1207</v>
      </c>
      <c r="B44" s="701" t="s">
        <v>1248</v>
      </c>
      <c r="C44" s="633"/>
      <c r="D44" s="681"/>
      <c r="E44" s="19"/>
      <c r="F44" s="19"/>
      <c r="G44" s="19"/>
      <c r="H44" s="19"/>
      <c r="I44" s="1361">
        <f>122000*40%</f>
        <v>48800</v>
      </c>
      <c r="J44" s="852"/>
      <c r="K44" s="827"/>
      <c r="L44" s="828"/>
      <c r="M44" s="1378">
        <v>15</v>
      </c>
      <c r="N44" s="635">
        <f t="shared" si="5"/>
        <v>6.666666666666667</v>
      </c>
      <c r="O44" s="636">
        <f t="shared" si="6"/>
        <v>3253.3333333333339</v>
      </c>
      <c r="P44" s="1437"/>
      <c r="Q44" s="1437"/>
      <c r="R44" s="1437"/>
      <c r="S44" s="1437"/>
      <c r="T44" s="1437"/>
      <c r="U44" s="1437"/>
      <c r="V44" s="1437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301"/>
      <c r="BL44" s="301"/>
      <c r="BM44" s="301"/>
      <c r="BN44" s="301"/>
      <c r="BO44" s="301"/>
      <c r="BP44" s="301"/>
      <c r="BQ44" s="301"/>
      <c r="BR44" s="301"/>
      <c r="BS44" s="301"/>
      <c r="BT44" s="301"/>
      <c r="BU44" s="301"/>
      <c r="BV44" s="301"/>
      <c r="BW44" s="301"/>
      <c r="BX44" s="301"/>
      <c r="BY44" s="301"/>
      <c r="BZ44" s="301"/>
      <c r="CA44" s="301"/>
      <c r="CB44" s="301"/>
      <c r="CC44" s="301"/>
      <c r="CD44" s="301"/>
      <c r="CE44" s="301"/>
      <c r="CF44" s="301"/>
      <c r="CG44" s="301"/>
      <c r="CH44" s="301"/>
      <c r="CI44" s="301"/>
      <c r="CJ44" s="301"/>
      <c r="CK44" s="301"/>
      <c r="CL44" s="301"/>
      <c r="CM44" s="301"/>
      <c r="CN44" s="301"/>
      <c r="CO44" s="301"/>
      <c r="CP44" s="301"/>
      <c r="CQ44" s="301"/>
      <c r="CR44" s="301"/>
      <c r="CS44" s="301"/>
      <c r="CT44" s="301"/>
      <c r="CU44" s="301"/>
      <c r="CV44" s="301"/>
      <c r="CW44" s="301"/>
      <c r="CX44" s="301"/>
      <c r="CY44" s="301"/>
      <c r="CZ44" s="301"/>
      <c r="DA44" s="301"/>
      <c r="DB44" s="301"/>
      <c r="DC44" s="301"/>
      <c r="DD44" s="301"/>
      <c r="DE44" s="301"/>
      <c r="DF44" s="301"/>
      <c r="DG44" s="301"/>
      <c r="DH44" s="301"/>
      <c r="DI44" s="301"/>
      <c r="DJ44" s="301"/>
      <c r="DK44" s="301"/>
      <c r="DL44" s="301"/>
      <c r="DM44" s="301"/>
      <c r="DN44" s="301"/>
      <c r="DO44" s="301"/>
      <c r="DP44" s="301"/>
      <c r="DQ44" s="301"/>
      <c r="DR44" s="301"/>
      <c r="DS44" s="301"/>
      <c r="DT44" s="301"/>
      <c r="DU44" s="301"/>
      <c r="DV44" s="301"/>
      <c r="DW44" s="301"/>
      <c r="DX44" s="301"/>
      <c r="DY44" s="301"/>
      <c r="DZ44" s="301"/>
      <c r="EA44" s="301"/>
      <c r="EB44" s="301"/>
      <c r="EC44" s="301"/>
      <c r="ED44" s="301"/>
      <c r="EE44" s="301"/>
      <c r="EF44" s="301"/>
      <c r="EG44" s="301"/>
      <c r="EH44" s="301"/>
      <c r="EI44" s="301"/>
      <c r="EJ44" s="301"/>
      <c r="EK44" s="301"/>
      <c r="EL44" s="301"/>
      <c r="EM44" s="301"/>
      <c r="EN44" s="301"/>
      <c r="EO44" s="301"/>
      <c r="EP44" s="301"/>
      <c r="EQ44" s="301"/>
      <c r="ER44" s="301"/>
      <c r="ES44" s="301"/>
      <c r="ET44" s="301"/>
      <c r="EU44" s="301"/>
      <c r="EV44" s="301"/>
      <c r="EW44" s="301"/>
      <c r="EX44" s="301"/>
      <c r="EY44" s="301"/>
      <c r="EZ44" s="301"/>
      <c r="FA44" s="301"/>
      <c r="FB44" s="301"/>
      <c r="FC44" s="301"/>
      <c r="FD44" s="301"/>
      <c r="FE44" s="301"/>
      <c r="FF44" s="301"/>
      <c r="FG44" s="301"/>
      <c r="FH44" s="301"/>
      <c r="FI44" s="301"/>
      <c r="FJ44" s="301"/>
      <c r="FK44" s="301"/>
      <c r="FL44" s="301"/>
      <c r="FM44" s="301"/>
      <c r="FN44" s="301"/>
      <c r="FO44" s="301"/>
      <c r="FP44" s="301"/>
      <c r="FQ44" s="301"/>
      <c r="FR44" s="301"/>
      <c r="FS44" s="301"/>
      <c r="FT44" s="301"/>
      <c r="FU44" s="301"/>
      <c r="FV44" s="301"/>
      <c r="FW44" s="301"/>
      <c r="FX44" s="301"/>
      <c r="FY44" s="301"/>
      <c r="FZ44" s="301"/>
      <c r="GA44" s="301"/>
      <c r="GB44" s="301"/>
      <c r="GC44" s="301"/>
      <c r="GD44" s="301"/>
      <c r="GE44" s="301"/>
      <c r="GF44" s="301"/>
      <c r="GG44" s="301"/>
      <c r="GH44" s="301"/>
      <c r="GI44" s="301"/>
      <c r="GJ44" s="301"/>
      <c r="GK44" s="301"/>
      <c r="GL44" s="301"/>
      <c r="GM44" s="301"/>
      <c r="GN44" s="301"/>
      <c r="GO44" s="301"/>
      <c r="GP44" s="301"/>
      <c r="GQ44" s="301"/>
      <c r="GR44" s="301"/>
      <c r="GS44" s="301"/>
      <c r="GT44" s="301"/>
      <c r="GU44" s="301"/>
      <c r="GV44" s="301"/>
      <c r="GW44" s="301"/>
      <c r="GX44" s="301"/>
      <c r="GY44" s="301"/>
    </row>
    <row r="45" spans="1:207" s="302" customFormat="1">
      <c r="A45" s="368" t="s">
        <v>1208</v>
      </c>
      <c r="B45" s="701"/>
      <c r="C45" s="633"/>
      <c r="D45" s="681"/>
      <c r="E45" s="19"/>
      <c r="F45" s="19"/>
      <c r="G45" s="19"/>
      <c r="H45" s="1371"/>
      <c r="I45" s="1362"/>
      <c r="J45" s="852"/>
      <c r="K45" s="827"/>
      <c r="L45" s="828"/>
      <c r="M45" s="1380"/>
      <c r="N45" s="827"/>
      <c r="O45" s="828"/>
      <c r="P45" s="1437"/>
      <c r="Q45" s="1437"/>
      <c r="R45" s="1437"/>
      <c r="S45" s="1437"/>
      <c r="T45" s="1437"/>
      <c r="U45" s="1437"/>
      <c r="V45" s="1437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1"/>
      <c r="BS45" s="301"/>
      <c r="BT45" s="301"/>
      <c r="BU45" s="301"/>
      <c r="BV45" s="301"/>
      <c r="BW45" s="301"/>
      <c r="BX45" s="301"/>
      <c r="BY45" s="301"/>
      <c r="BZ45" s="301"/>
      <c r="CA45" s="301"/>
      <c r="CB45" s="301"/>
      <c r="CC45" s="301"/>
      <c r="CD45" s="301"/>
      <c r="CE45" s="301"/>
      <c r="CF45" s="301"/>
      <c r="CG45" s="301"/>
      <c r="CH45" s="301"/>
      <c r="CI45" s="301"/>
      <c r="CJ45" s="301"/>
      <c r="CK45" s="301"/>
      <c r="CL45" s="301"/>
      <c r="CM45" s="301"/>
      <c r="CN45" s="301"/>
      <c r="CO45" s="301"/>
      <c r="CP45" s="301"/>
      <c r="CQ45" s="301"/>
      <c r="CR45" s="301"/>
      <c r="CS45" s="301"/>
      <c r="CT45" s="301"/>
      <c r="CU45" s="301"/>
      <c r="CV45" s="301"/>
      <c r="CW45" s="301"/>
      <c r="CX45" s="301"/>
      <c r="CY45" s="301"/>
      <c r="CZ45" s="301"/>
      <c r="DA45" s="301"/>
      <c r="DB45" s="301"/>
      <c r="DC45" s="301"/>
      <c r="DD45" s="301"/>
      <c r="DE45" s="301"/>
      <c r="DF45" s="301"/>
      <c r="DG45" s="301"/>
      <c r="DH45" s="301"/>
      <c r="DI45" s="301"/>
      <c r="DJ45" s="301"/>
      <c r="DK45" s="301"/>
      <c r="DL45" s="301"/>
      <c r="DM45" s="301"/>
      <c r="DN45" s="301"/>
      <c r="DO45" s="301"/>
      <c r="DP45" s="301"/>
      <c r="DQ45" s="301"/>
      <c r="DR45" s="301"/>
      <c r="DS45" s="301"/>
      <c r="DT45" s="301"/>
      <c r="DU45" s="301"/>
      <c r="DV45" s="301"/>
      <c r="DW45" s="301"/>
      <c r="DX45" s="301"/>
      <c r="DY45" s="301"/>
      <c r="DZ45" s="301"/>
      <c r="EA45" s="301"/>
      <c r="EB45" s="301"/>
      <c r="EC45" s="301"/>
      <c r="ED45" s="301"/>
      <c r="EE45" s="301"/>
      <c r="EF45" s="301"/>
      <c r="EG45" s="301"/>
      <c r="EH45" s="301"/>
      <c r="EI45" s="301"/>
      <c r="EJ45" s="301"/>
      <c r="EK45" s="301"/>
      <c r="EL45" s="301"/>
      <c r="EM45" s="301"/>
      <c r="EN45" s="301"/>
      <c r="EO45" s="301"/>
      <c r="EP45" s="301"/>
      <c r="EQ45" s="301"/>
      <c r="ER45" s="301"/>
      <c r="ES45" s="301"/>
      <c r="ET45" s="301"/>
      <c r="EU45" s="301"/>
      <c r="EV45" s="301"/>
      <c r="EW45" s="301"/>
      <c r="EX45" s="301"/>
      <c r="EY45" s="301"/>
      <c r="EZ45" s="301"/>
      <c r="FA45" s="301"/>
      <c r="FB45" s="301"/>
      <c r="FC45" s="301"/>
      <c r="FD45" s="301"/>
      <c r="FE45" s="301"/>
      <c r="FF45" s="301"/>
      <c r="FG45" s="301"/>
      <c r="FH45" s="301"/>
      <c r="FI45" s="301"/>
      <c r="FJ45" s="301"/>
      <c r="FK45" s="301"/>
      <c r="FL45" s="301"/>
      <c r="FM45" s="301"/>
      <c r="FN45" s="301"/>
      <c r="FO45" s="301"/>
      <c r="FP45" s="301"/>
      <c r="FQ45" s="301"/>
      <c r="FR45" s="301"/>
      <c r="FS45" s="301"/>
      <c r="FT45" s="301"/>
      <c r="FU45" s="301"/>
      <c r="FV45" s="301"/>
      <c r="FW45" s="301"/>
      <c r="FX45" s="301"/>
      <c r="FY45" s="301"/>
      <c r="FZ45" s="301"/>
      <c r="GA45" s="301"/>
      <c r="GB45" s="301"/>
      <c r="GC45" s="301"/>
      <c r="GD45" s="301"/>
      <c r="GE45" s="301"/>
      <c r="GF45" s="301"/>
      <c r="GG45" s="301"/>
      <c r="GH45" s="301"/>
      <c r="GI45" s="301"/>
      <c r="GJ45" s="301"/>
      <c r="GK45" s="301"/>
      <c r="GL45" s="301"/>
      <c r="GM45" s="301"/>
      <c r="GN45" s="301"/>
      <c r="GO45" s="301"/>
      <c r="GP45" s="301"/>
      <c r="GQ45" s="301"/>
      <c r="GR45" s="301"/>
      <c r="GS45" s="301"/>
      <c r="GT45" s="301"/>
      <c r="GU45" s="301"/>
      <c r="GV45" s="301"/>
      <c r="GW45" s="301"/>
      <c r="GX45" s="301"/>
      <c r="GY45" s="301"/>
    </row>
    <row r="46" spans="1:207" s="298" customFormat="1">
      <c r="A46" s="629" t="s">
        <v>18</v>
      </c>
      <c r="B46" s="704" t="s">
        <v>158</v>
      </c>
      <c r="C46" s="637">
        <f t="shared" ref="C46:I46" si="7">SUM(C47:C85)</f>
        <v>5166</v>
      </c>
      <c r="D46" s="682">
        <f t="shared" si="7"/>
        <v>336135</v>
      </c>
      <c r="E46" s="17">
        <f t="shared" si="7"/>
        <v>841845</v>
      </c>
      <c r="F46" s="17">
        <f t="shared" si="7"/>
        <v>306835</v>
      </c>
      <c r="G46" s="17">
        <f t="shared" si="7"/>
        <v>127827.02</v>
      </c>
      <c r="H46" s="17">
        <f t="shared" si="7"/>
        <v>0</v>
      </c>
      <c r="I46" s="1363">
        <f t="shared" si="7"/>
        <v>2406505.0709749693</v>
      </c>
      <c r="J46" s="631"/>
      <c r="K46" s="631"/>
      <c r="L46" s="1270">
        <f>SUM(L47:L85)</f>
        <v>0</v>
      </c>
      <c r="M46" s="631"/>
      <c r="N46" s="631"/>
      <c r="O46" s="632">
        <f>SUM(O47:O85)</f>
        <v>125609.84604793428</v>
      </c>
      <c r="P46" s="1436"/>
      <c r="Q46" s="1436"/>
      <c r="R46" s="1436"/>
      <c r="S46" s="1436"/>
      <c r="T46" s="1436"/>
      <c r="U46" s="1436"/>
      <c r="V46" s="1436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7"/>
      <c r="CC46" s="297"/>
      <c r="CD46" s="297"/>
      <c r="CE46" s="297"/>
      <c r="CF46" s="297"/>
      <c r="CG46" s="297"/>
      <c r="CH46" s="297"/>
      <c r="CI46" s="297"/>
      <c r="CJ46" s="297"/>
      <c r="CK46" s="297"/>
      <c r="CL46" s="297"/>
      <c r="CM46" s="297"/>
      <c r="CN46" s="297"/>
      <c r="CO46" s="297"/>
      <c r="CP46" s="297"/>
      <c r="CQ46" s="297"/>
      <c r="CR46" s="297"/>
      <c r="CS46" s="297"/>
      <c r="CT46" s="297"/>
      <c r="CU46" s="297"/>
      <c r="CV46" s="297"/>
      <c r="CW46" s="297"/>
      <c r="CX46" s="297"/>
      <c r="CY46" s="297"/>
      <c r="CZ46" s="297"/>
      <c r="DA46" s="297"/>
      <c r="DB46" s="297"/>
      <c r="DC46" s="297"/>
      <c r="DD46" s="297"/>
      <c r="DE46" s="297"/>
      <c r="DF46" s="297"/>
      <c r="DG46" s="297"/>
      <c r="DH46" s="297"/>
      <c r="DI46" s="297"/>
      <c r="DJ46" s="297"/>
      <c r="DK46" s="297"/>
      <c r="DL46" s="297"/>
      <c r="DM46" s="297"/>
      <c r="DN46" s="297"/>
      <c r="DO46" s="297"/>
      <c r="DP46" s="297"/>
      <c r="DQ46" s="297"/>
      <c r="DR46" s="297"/>
      <c r="DS46" s="297"/>
      <c r="DT46" s="297"/>
      <c r="DU46" s="297"/>
      <c r="DV46" s="297"/>
      <c r="DW46" s="297"/>
      <c r="DX46" s="297"/>
      <c r="DY46" s="297"/>
      <c r="DZ46" s="297"/>
      <c r="EA46" s="297"/>
      <c r="EB46" s="297"/>
      <c r="EC46" s="297"/>
      <c r="ED46" s="297"/>
      <c r="EE46" s="297"/>
      <c r="EF46" s="297"/>
      <c r="EG46" s="297"/>
      <c r="EH46" s="297"/>
      <c r="EI46" s="297"/>
      <c r="EJ46" s="297"/>
      <c r="EK46" s="297"/>
      <c r="EL46" s="297"/>
      <c r="EM46" s="297"/>
      <c r="EN46" s="297"/>
      <c r="EO46" s="297"/>
      <c r="EP46" s="297"/>
      <c r="EQ46" s="297"/>
      <c r="ER46" s="297"/>
      <c r="ES46" s="297"/>
      <c r="ET46" s="297"/>
      <c r="EU46" s="297"/>
      <c r="EV46" s="297"/>
      <c r="EW46" s="297"/>
      <c r="EX46" s="297"/>
      <c r="EY46" s="297"/>
      <c r="EZ46" s="297"/>
      <c r="FA46" s="297"/>
      <c r="FB46" s="297"/>
      <c r="FC46" s="297"/>
      <c r="FD46" s="297"/>
      <c r="FE46" s="297"/>
      <c r="FF46" s="297"/>
      <c r="FG46" s="297"/>
      <c r="FH46" s="297"/>
      <c r="FI46" s="297"/>
      <c r="FJ46" s="297"/>
      <c r="FK46" s="297"/>
      <c r="FL46" s="297"/>
      <c r="FM46" s="297"/>
      <c r="FN46" s="297"/>
      <c r="FO46" s="297"/>
      <c r="FP46" s="297"/>
      <c r="FQ46" s="297"/>
      <c r="FR46" s="297"/>
      <c r="FS46" s="297"/>
      <c r="FT46" s="297"/>
      <c r="FU46" s="297"/>
      <c r="FV46" s="297"/>
      <c r="FW46" s="297"/>
      <c r="FX46" s="297"/>
      <c r="FY46" s="297"/>
      <c r="FZ46" s="297"/>
      <c r="GA46" s="297"/>
      <c r="GB46" s="297"/>
      <c r="GC46" s="297"/>
      <c r="GD46" s="297"/>
      <c r="GE46" s="297"/>
      <c r="GF46" s="297"/>
      <c r="GG46" s="297"/>
      <c r="GH46" s="297"/>
      <c r="GI46" s="297"/>
      <c r="GJ46" s="297"/>
      <c r="GK46" s="297"/>
      <c r="GL46" s="297"/>
      <c r="GM46" s="297"/>
      <c r="GN46" s="297"/>
      <c r="GO46" s="297"/>
      <c r="GP46" s="297"/>
      <c r="GQ46" s="297"/>
      <c r="GR46" s="297"/>
      <c r="GS46" s="297"/>
      <c r="GT46" s="297"/>
      <c r="GU46" s="297"/>
      <c r="GV46" s="297"/>
      <c r="GW46" s="297"/>
      <c r="GX46" s="297"/>
      <c r="GY46" s="297"/>
    </row>
    <row r="47" spans="1:207" s="639" customFormat="1">
      <c r="A47" s="368" t="s">
        <v>19</v>
      </c>
      <c r="B47" s="701" t="s">
        <v>654</v>
      </c>
      <c r="C47" s="633">
        <v>5166</v>
      </c>
      <c r="D47" s="19"/>
      <c r="E47" s="19"/>
      <c r="F47" s="19"/>
      <c r="G47" s="19"/>
      <c r="H47" s="19"/>
      <c r="I47" s="1361"/>
      <c r="J47" s="634"/>
      <c r="K47" s="635"/>
      <c r="L47" s="1382"/>
      <c r="M47" s="634"/>
      <c r="N47" s="635"/>
      <c r="O47" s="636"/>
      <c r="P47" s="1437"/>
      <c r="Q47" s="1437"/>
      <c r="R47" s="1437"/>
      <c r="S47" s="1437"/>
      <c r="T47" s="1437"/>
      <c r="U47" s="1437"/>
      <c r="V47" s="1437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3"/>
      <c r="BC47" s="303"/>
      <c r="BD47" s="303"/>
      <c r="BE47" s="303"/>
      <c r="BF47" s="303"/>
      <c r="BG47" s="303"/>
      <c r="BH47" s="303"/>
      <c r="BI47" s="303"/>
      <c r="BJ47" s="303"/>
      <c r="BK47" s="303"/>
      <c r="BL47" s="303"/>
      <c r="BM47" s="303"/>
      <c r="BN47" s="303"/>
      <c r="BO47" s="303"/>
      <c r="BP47" s="303"/>
      <c r="BQ47" s="303"/>
      <c r="BR47" s="303"/>
      <c r="BS47" s="303"/>
      <c r="BT47" s="303"/>
      <c r="BU47" s="303"/>
      <c r="BV47" s="303"/>
      <c r="BW47" s="303"/>
      <c r="BX47" s="303"/>
      <c r="BY47" s="303"/>
      <c r="BZ47" s="303"/>
      <c r="CA47" s="303"/>
      <c r="CB47" s="303"/>
      <c r="CC47" s="303"/>
      <c r="CD47" s="303"/>
      <c r="CE47" s="303"/>
      <c r="CF47" s="303"/>
      <c r="CG47" s="303"/>
      <c r="CH47" s="303"/>
      <c r="CI47" s="303"/>
      <c r="CJ47" s="303"/>
      <c r="CK47" s="303"/>
      <c r="CL47" s="303"/>
      <c r="CM47" s="303"/>
      <c r="CN47" s="303"/>
      <c r="CO47" s="303"/>
      <c r="CP47" s="303"/>
      <c r="CQ47" s="303"/>
      <c r="CR47" s="303"/>
      <c r="CS47" s="303"/>
      <c r="CT47" s="303"/>
      <c r="CU47" s="303"/>
      <c r="CV47" s="303"/>
      <c r="CW47" s="303"/>
      <c r="CX47" s="303"/>
      <c r="CY47" s="303"/>
      <c r="CZ47" s="303"/>
      <c r="DA47" s="303"/>
      <c r="DB47" s="303"/>
      <c r="DC47" s="303"/>
      <c r="DD47" s="303"/>
      <c r="DE47" s="303"/>
      <c r="DF47" s="303"/>
      <c r="DG47" s="303"/>
      <c r="DH47" s="303"/>
      <c r="DI47" s="303"/>
      <c r="DJ47" s="303"/>
      <c r="DK47" s="303"/>
      <c r="DL47" s="303"/>
      <c r="DM47" s="303"/>
      <c r="DN47" s="303"/>
      <c r="DO47" s="303"/>
      <c r="DP47" s="303"/>
      <c r="DQ47" s="303"/>
      <c r="DR47" s="303"/>
      <c r="DS47" s="303"/>
      <c r="DT47" s="303"/>
      <c r="DU47" s="303"/>
      <c r="DV47" s="303"/>
      <c r="DW47" s="303"/>
      <c r="DX47" s="303"/>
      <c r="DY47" s="303"/>
      <c r="DZ47" s="303"/>
      <c r="EA47" s="303"/>
      <c r="EB47" s="303"/>
      <c r="EC47" s="303"/>
      <c r="ED47" s="303"/>
      <c r="EE47" s="303"/>
      <c r="EF47" s="303"/>
      <c r="EG47" s="303"/>
      <c r="EH47" s="303"/>
      <c r="EI47" s="303"/>
      <c r="EJ47" s="303"/>
      <c r="EK47" s="303"/>
      <c r="EL47" s="303"/>
      <c r="EM47" s="303"/>
      <c r="EN47" s="303"/>
      <c r="EO47" s="303"/>
      <c r="EP47" s="303"/>
      <c r="EQ47" s="303"/>
      <c r="ER47" s="303"/>
      <c r="ES47" s="303"/>
      <c r="ET47" s="303"/>
      <c r="EU47" s="303"/>
      <c r="EV47" s="303"/>
      <c r="EW47" s="303"/>
      <c r="EX47" s="303"/>
      <c r="EY47" s="303"/>
      <c r="EZ47" s="303"/>
      <c r="FA47" s="303"/>
      <c r="FB47" s="303"/>
      <c r="FC47" s="303"/>
      <c r="FD47" s="303"/>
      <c r="FE47" s="303"/>
      <c r="FF47" s="303"/>
      <c r="FG47" s="303"/>
      <c r="FH47" s="303"/>
      <c r="FI47" s="303"/>
      <c r="FJ47" s="303"/>
      <c r="FK47" s="303"/>
      <c r="FL47" s="303"/>
      <c r="FM47" s="303"/>
      <c r="FN47" s="303"/>
      <c r="FO47" s="303"/>
      <c r="FP47" s="303"/>
      <c r="FQ47" s="303"/>
      <c r="FR47" s="303"/>
      <c r="FS47" s="303"/>
      <c r="FT47" s="303"/>
      <c r="FU47" s="303"/>
      <c r="FV47" s="303"/>
      <c r="FW47" s="303"/>
      <c r="FX47" s="303"/>
      <c r="FY47" s="303"/>
      <c r="FZ47" s="303"/>
      <c r="GA47" s="303"/>
      <c r="GB47" s="303"/>
      <c r="GC47" s="303"/>
      <c r="GD47" s="303"/>
      <c r="GE47" s="303"/>
      <c r="GF47" s="303"/>
      <c r="GG47" s="303"/>
      <c r="GH47" s="303"/>
      <c r="GI47" s="303"/>
      <c r="GJ47" s="303"/>
      <c r="GK47" s="303"/>
      <c r="GL47" s="303"/>
      <c r="GM47" s="303"/>
      <c r="GN47" s="303"/>
      <c r="GO47" s="303"/>
      <c r="GP47" s="303"/>
      <c r="GQ47" s="303"/>
      <c r="GR47" s="303"/>
      <c r="GS47" s="303"/>
      <c r="GT47" s="303"/>
      <c r="GU47" s="303"/>
      <c r="GV47" s="303"/>
      <c r="GW47" s="303"/>
      <c r="GX47" s="303"/>
      <c r="GY47" s="303"/>
    </row>
    <row r="48" spans="1:207" s="639" customFormat="1">
      <c r="A48" s="368" t="s">
        <v>24</v>
      </c>
      <c r="B48" s="703" t="s">
        <v>636</v>
      </c>
      <c r="C48" s="633"/>
      <c r="D48" s="19">
        <v>152925</v>
      </c>
      <c r="E48" s="19"/>
      <c r="F48" s="19"/>
      <c r="G48" s="19"/>
      <c r="H48" s="19"/>
      <c r="I48" s="1361"/>
      <c r="J48" s="634"/>
      <c r="K48" s="635"/>
      <c r="L48" s="1382"/>
      <c r="M48" s="634"/>
      <c r="N48" s="635"/>
      <c r="O48" s="636"/>
      <c r="P48" s="1437"/>
      <c r="Q48" s="1437"/>
      <c r="R48" s="1437"/>
      <c r="S48" s="1437"/>
      <c r="T48" s="1437"/>
      <c r="U48" s="1437"/>
      <c r="V48" s="1437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  <c r="BC48" s="303"/>
      <c r="BD48" s="303"/>
      <c r="BE48" s="303"/>
      <c r="BF48" s="303"/>
      <c r="BG48" s="303"/>
      <c r="BH48" s="303"/>
      <c r="BI48" s="303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  <c r="BW48" s="303"/>
      <c r="BX48" s="303"/>
      <c r="BY48" s="303"/>
      <c r="BZ48" s="303"/>
      <c r="CA48" s="303"/>
      <c r="CB48" s="303"/>
      <c r="CC48" s="303"/>
      <c r="CD48" s="303"/>
      <c r="CE48" s="303"/>
      <c r="CF48" s="303"/>
      <c r="CG48" s="303"/>
      <c r="CH48" s="303"/>
      <c r="CI48" s="303"/>
      <c r="CJ48" s="303"/>
      <c r="CK48" s="303"/>
      <c r="CL48" s="303"/>
      <c r="CM48" s="303"/>
      <c r="CN48" s="303"/>
      <c r="CO48" s="303"/>
      <c r="CP48" s="303"/>
      <c r="CQ48" s="303"/>
      <c r="CR48" s="303"/>
      <c r="CS48" s="303"/>
      <c r="CT48" s="303"/>
      <c r="CU48" s="303"/>
      <c r="CV48" s="303"/>
      <c r="CW48" s="303"/>
      <c r="CX48" s="303"/>
      <c r="CY48" s="303"/>
      <c r="CZ48" s="303"/>
      <c r="DA48" s="303"/>
      <c r="DB48" s="303"/>
      <c r="DC48" s="303"/>
      <c r="DD48" s="303"/>
      <c r="DE48" s="303"/>
      <c r="DF48" s="303"/>
      <c r="DG48" s="303"/>
      <c r="DH48" s="303"/>
      <c r="DI48" s="303"/>
      <c r="DJ48" s="303"/>
      <c r="DK48" s="303"/>
      <c r="DL48" s="303"/>
      <c r="DM48" s="303"/>
      <c r="DN48" s="303"/>
      <c r="DO48" s="303"/>
      <c r="DP48" s="303"/>
      <c r="DQ48" s="303"/>
      <c r="DR48" s="303"/>
      <c r="DS48" s="303"/>
      <c r="DT48" s="303"/>
      <c r="DU48" s="303"/>
      <c r="DV48" s="303"/>
      <c r="DW48" s="303"/>
      <c r="DX48" s="303"/>
      <c r="DY48" s="303"/>
      <c r="DZ48" s="303"/>
      <c r="EA48" s="303"/>
      <c r="EB48" s="303"/>
      <c r="EC48" s="303"/>
      <c r="ED48" s="303"/>
      <c r="EE48" s="303"/>
      <c r="EF48" s="303"/>
      <c r="EG48" s="303"/>
      <c r="EH48" s="303"/>
      <c r="EI48" s="303"/>
      <c r="EJ48" s="303"/>
      <c r="EK48" s="303"/>
      <c r="EL48" s="303"/>
      <c r="EM48" s="303"/>
      <c r="EN48" s="303"/>
      <c r="EO48" s="303"/>
      <c r="EP48" s="303"/>
      <c r="EQ48" s="303"/>
      <c r="ER48" s="303"/>
      <c r="ES48" s="303"/>
      <c r="ET48" s="303"/>
      <c r="EU48" s="303"/>
      <c r="EV48" s="303"/>
      <c r="EW48" s="303"/>
      <c r="EX48" s="303"/>
      <c r="EY48" s="303"/>
      <c r="EZ48" s="303"/>
      <c r="FA48" s="303"/>
      <c r="FB48" s="303"/>
      <c r="FC48" s="303"/>
      <c r="FD48" s="303"/>
      <c r="FE48" s="303"/>
      <c r="FF48" s="303"/>
      <c r="FG48" s="303"/>
      <c r="FH48" s="303"/>
      <c r="FI48" s="303"/>
      <c r="FJ48" s="303"/>
      <c r="FK48" s="303"/>
      <c r="FL48" s="303"/>
      <c r="FM48" s="303"/>
      <c r="FN48" s="303"/>
      <c r="FO48" s="303"/>
      <c r="FP48" s="303"/>
      <c r="FQ48" s="303"/>
      <c r="FR48" s="303"/>
      <c r="FS48" s="303"/>
      <c r="FT48" s="303"/>
      <c r="FU48" s="303"/>
      <c r="FV48" s="303"/>
      <c r="FW48" s="303"/>
      <c r="FX48" s="303"/>
      <c r="FY48" s="303"/>
      <c r="FZ48" s="303"/>
      <c r="GA48" s="303"/>
      <c r="GB48" s="303"/>
      <c r="GC48" s="303"/>
      <c r="GD48" s="303"/>
      <c r="GE48" s="303"/>
      <c r="GF48" s="303"/>
      <c r="GG48" s="303"/>
      <c r="GH48" s="303"/>
      <c r="GI48" s="303"/>
      <c r="GJ48" s="303"/>
      <c r="GK48" s="303"/>
      <c r="GL48" s="303"/>
      <c r="GM48" s="303"/>
      <c r="GN48" s="303"/>
      <c r="GO48" s="303"/>
      <c r="GP48" s="303"/>
      <c r="GQ48" s="303"/>
      <c r="GR48" s="303"/>
      <c r="GS48" s="303"/>
      <c r="GT48" s="303"/>
      <c r="GU48" s="303"/>
      <c r="GV48" s="303"/>
      <c r="GW48" s="303"/>
      <c r="GX48" s="303"/>
      <c r="GY48" s="303"/>
    </row>
    <row r="49" spans="1:207" s="639" customFormat="1">
      <c r="A49" s="368" t="s">
        <v>105</v>
      </c>
      <c r="B49" s="703" t="s">
        <v>681</v>
      </c>
      <c r="C49" s="633"/>
      <c r="D49" s="19">
        <v>6451</v>
      </c>
      <c r="E49" s="19"/>
      <c r="F49" s="1371"/>
      <c r="G49" s="19"/>
      <c r="H49" s="19"/>
      <c r="I49" s="1361"/>
      <c r="J49" s="634"/>
      <c r="K49" s="635"/>
      <c r="L49" s="1382"/>
      <c r="M49" s="634"/>
      <c r="N49" s="635"/>
      <c r="O49" s="636"/>
      <c r="P49" s="1437"/>
      <c r="Q49" s="1437"/>
      <c r="R49" s="1437"/>
      <c r="S49" s="1437"/>
      <c r="T49" s="1437"/>
      <c r="U49" s="1437"/>
      <c r="V49" s="1437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  <c r="AW49" s="303"/>
      <c r="AX49" s="303"/>
      <c r="AY49" s="303"/>
      <c r="AZ49" s="303"/>
      <c r="BA49" s="303"/>
      <c r="BB49" s="303"/>
      <c r="BC49" s="303"/>
      <c r="BD49" s="303"/>
      <c r="BE49" s="303"/>
      <c r="BF49" s="303"/>
      <c r="BG49" s="303"/>
      <c r="BH49" s="303"/>
      <c r="BI49" s="303"/>
      <c r="BJ49" s="303"/>
      <c r="BK49" s="303"/>
      <c r="BL49" s="303"/>
      <c r="BM49" s="303"/>
      <c r="BN49" s="303"/>
      <c r="BO49" s="303"/>
      <c r="BP49" s="303"/>
      <c r="BQ49" s="303"/>
      <c r="BR49" s="303"/>
      <c r="BS49" s="303"/>
      <c r="BT49" s="303"/>
      <c r="BU49" s="303"/>
      <c r="BV49" s="303"/>
      <c r="BW49" s="303"/>
      <c r="BX49" s="303"/>
      <c r="BY49" s="303"/>
      <c r="BZ49" s="303"/>
      <c r="CA49" s="303"/>
      <c r="CB49" s="303"/>
      <c r="CC49" s="303"/>
      <c r="CD49" s="303"/>
      <c r="CE49" s="303"/>
      <c r="CF49" s="303"/>
      <c r="CG49" s="303"/>
      <c r="CH49" s="303"/>
      <c r="CI49" s="303"/>
      <c r="CJ49" s="303"/>
      <c r="CK49" s="303"/>
      <c r="CL49" s="303"/>
      <c r="CM49" s="303"/>
      <c r="CN49" s="303"/>
      <c r="CO49" s="303"/>
      <c r="CP49" s="303"/>
      <c r="CQ49" s="303"/>
      <c r="CR49" s="303"/>
      <c r="CS49" s="303"/>
      <c r="CT49" s="303"/>
      <c r="CU49" s="303"/>
      <c r="CV49" s="303"/>
      <c r="CW49" s="303"/>
      <c r="CX49" s="303"/>
      <c r="CY49" s="303"/>
      <c r="CZ49" s="303"/>
      <c r="DA49" s="303"/>
      <c r="DB49" s="303"/>
      <c r="DC49" s="303"/>
      <c r="DD49" s="303"/>
      <c r="DE49" s="303"/>
      <c r="DF49" s="303"/>
      <c r="DG49" s="303"/>
      <c r="DH49" s="303"/>
      <c r="DI49" s="303"/>
      <c r="DJ49" s="303"/>
      <c r="DK49" s="303"/>
      <c r="DL49" s="303"/>
      <c r="DM49" s="303"/>
      <c r="DN49" s="303"/>
      <c r="DO49" s="303"/>
      <c r="DP49" s="303"/>
      <c r="DQ49" s="303"/>
      <c r="DR49" s="303"/>
      <c r="DS49" s="303"/>
      <c r="DT49" s="303"/>
      <c r="DU49" s="303"/>
      <c r="DV49" s="303"/>
      <c r="DW49" s="303"/>
      <c r="DX49" s="303"/>
      <c r="DY49" s="303"/>
      <c r="DZ49" s="303"/>
      <c r="EA49" s="303"/>
      <c r="EB49" s="303"/>
      <c r="EC49" s="303"/>
      <c r="ED49" s="303"/>
      <c r="EE49" s="303"/>
      <c r="EF49" s="303"/>
      <c r="EG49" s="303"/>
      <c r="EH49" s="303"/>
      <c r="EI49" s="303"/>
      <c r="EJ49" s="303"/>
      <c r="EK49" s="303"/>
      <c r="EL49" s="303"/>
      <c r="EM49" s="303"/>
      <c r="EN49" s="303"/>
      <c r="EO49" s="303"/>
      <c r="EP49" s="303"/>
      <c r="EQ49" s="303"/>
      <c r="ER49" s="303"/>
      <c r="ES49" s="303"/>
      <c r="ET49" s="303"/>
      <c r="EU49" s="303"/>
      <c r="EV49" s="303"/>
      <c r="EW49" s="303"/>
      <c r="EX49" s="303"/>
      <c r="EY49" s="303"/>
      <c r="EZ49" s="303"/>
      <c r="FA49" s="303"/>
      <c r="FB49" s="303"/>
      <c r="FC49" s="303"/>
      <c r="FD49" s="303"/>
      <c r="FE49" s="303"/>
      <c r="FF49" s="303"/>
      <c r="FG49" s="303"/>
      <c r="FH49" s="303"/>
      <c r="FI49" s="303"/>
      <c r="FJ49" s="303"/>
      <c r="FK49" s="303"/>
      <c r="FL49" s="303"/>
      <c r="FM49" s="303"/>
      <c r="FN49" s="303"/>
      <c r="FO49" s="303"/>
      <c r="FP49" s="303"/>
      <c r="FQ49" s="303"/>
      <c r="FR49" s="303"/>
      <c r="FS49" s="303"/>
      <c r="FT49" s="303"/>
      <c r="FU49" s="303"/>
      <c r="FV49" s="303"/>
      <c r="FW49" s="303"/>
      <c r="FX49" s="303"/>
      <c r="FY49" s="303"/>
      <c r="FZ49" s="303"/>
      <c r="GA49" s="303"/>
      <c r="GB49" s="303"/>
      <c r="GC49" s="303"/>
      <c r="GD49" s="303"/>
      <c r="GE49" s="303"/>
      <c r="GF49" s="303"/>
      <c r="GG49" s="303"/>
      <c r="GH49" s="303"/>
      <c r="GI49" s="303"/>
      <c r="GJ49" s="303"/>
      <c r="GK49" s="303"/>
      <c r="GL49" s="303"/>
      <c r="GM49" s="303"/>
      <c r="GN49" s="303"/>
      <c r="GO49" s="303"/>
      <c r="GP49" s="303"/>
      <c r="GQ49" s="303"/>
      <c r="GR49" s="303"/>
      <c r="GS49" s="303"/>
      <c r="GT49" s="303"/>
      <c r="GU49" s="303"/>
      <c r="GV49" s="303"/>
      <c r="GW49" s="303"/>
      <c r="GX49" s="303"/>
      <c r="GY49" s="303"/>
    </row>
    <row r="50" spans="1:207" s="639" customFormat="1">
      <c r="A50" s="368" t="s">
        <v>108</v>
      </c>
      <c r="B50" s="703" t="s">
        <v>734</v>
      </c>
      <c r="C50" s="633"/>
      <c r="D50" s="19">
        <v>6600</v>
      </c>
      <c r="E50" s="19"/>
      <c r="F50" s="19"/>
      <c r="G50" s="19"/>
      <c r="H50" s="19"/>
      <c r="I50" s="1361"/>
      <c r="J50" s="303"/>
      <c r="K50" s="303"/>
      <c r="L50" s="1383"/>
      <c r="M50" s="303"/>
      <c r="N50" s="303"/>
      <c r="O50" s="303"/>
      <c r="P50" s="1437"/>
      <c r="Q50" s="1437"/>
      <c r="R50" s="1437"/>
      <c r="S50" s="1437"/>
      <c r="T50" s="1437"/>
      <c r="U50" s="1437"/>
      <c r="V50" s="1437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303"/>
      <c r="BC50" s="303"/>
      <c r="BD50" s="303"/>
      <c r="BE50" s="303"/>
      <c r="BF50" s="303"/>
      <c r="BG50" s="303"/>
      <c r="BH50" s="303"/>
      <c r="BI50" s="303"/>
      <c r="BJ50" s="303"/>
      <c r="BK50" s="303"/>
      <c r="BL50" s="303"/>
      <c r="BM50" s="303"/>
      <c r="BN50" s="303"/>
      <c r="BO50" s="303"/>
      <c r="BP50" s="303"/>
      <c r="BQ50" s="303"/>
      <c r="BR50" s="303"/>
      <c r="BS50" s="303"/>
      <c r="BT50" s="303"/>
      <c r="BU50" s="303"/>
      <c r="BV50" s="303"/>
      <c r="BW50" s="303"/>
      <c r="BX50" s="303"/>
      <c r="BY50" s="303"/>
      <c r="BZ50" s="303"/>
      <c r="CA50" s="303"/>
      <c r="CB50" s="303"/>
      <c r="CC50" s="303"/>
      <c r="CD50" s="303"/>
      <c r="CE50" s="303"/>
      <c r="CF50" s="303"/>
      <c r="CG50" s="303"/>
      <c r="CH50" s="303"/>
      <c r="CI50" s="303"/>
      <c r="CJ50" s="303"/>
      <c r="CK50" s="303"/>
      <c r="CL50" s="303"/>
      <c r="CM50" s="303"/>
      <c r="CN50" s="303"/>
      <c r="CO50" s="303"/>
      <c r="CP50" s="303"/>
      <c r="CQ50" s="303"/>
      <c r="CR50" s="303"/>
      <c r="CS50" s="303"/>
      <c r="CT50" s="303"/>
      <c r="CU50" s="303"/>
      <c r="CV50" s="303"/>
      <c r="CW50" s="303"/>
      <c r="CX50" s="303"/>
      <c r="CY50" s="303"/>
      <c r="CZ50" s="303"/>
      <c r="DA50" s="303"/>
      <c r="DB50" s="303"/>
      <c r="DC50" s="303"/>
      <c r="DD50" s="303"/>
      <c r="DE50" s="303"/>
      <c r="DF50" s="303"/>
      <c r="DG50" s="303"/>
      <c r="DH50" s="303"/>
      <c r="DI50" s="303"/>
      <c r="DJ50" s="303"/>
      <c r="DK50" s="303"/>
      <c r="DL50" s="303"/>
      <c r="DM50" s="303"/>
      <c r="DN50" s="303"/>
      <c r="DO50" s="303"/>
      <c r="DP50" s="303"/>
      <c r="DQ50" s="303"/>
      <c r="DR50" s="303"/>
      <c r="DS50" s="303"/>
      <c r="DT50" s="303"/>
      <c r="DU50" s="303"/>
      <c r="DV50" s="303"/>
      <c r="DW50" s="303"/>
      <c r="DX50" s="303"/>
      <c r="DY50" s="303"/>
      <c r="DZ50" s="303"/>
      <c r="EA50" s="303"/>
      <c r="EB50" s="303"/>
      <c r="EC50" s="303"/>
      <c r="ED50" s="303"/>
      <c r="EE50" s="303"/>
      <c r="EF50" s="303"/>
      <c r="EG50" s="303"/>
      <c r="EH50" s="303"/>
      <c r="EI50" s="303"/>
      <c r="EJ50" s="303"/>
      <c r="EK50" s="303"/>
      <c r="EL50" s="303"/>
      <c r="EM50" s="303"/>
      <c r="EN50" s="303"/>
      <c r="EO50" s="303"/>
      <c r="EP50" s="303"/>
      <c r="EQ50" s="303"/>
      <c r="ER50" s="303"/>
      <c r="ES50" s="303"/>
      <c r="ET50" s="303"/>
      <c r="EU50" s="303"/>
      <c r="EV50" s="303"/>
      <c r="EW50" s="303"/>
      <c r="EX50" s="303"/>
      <c r="EY50" s="303"/>
      <c r="EZ50" s="303"/>
      <c r="FA50" s="303"/>
      <c r="FB50" s="303"/>
      <c r="FC50" s="303"/>
      <c r="FD50" s="303"/>
      <c r="FE50" s="303"/>
      <c r="FF50" s="303"/>
      <c r="FG50" s="303"/>
      <c r="FH50" s="303"/>
      <c r="FI50" s="303"/>
      <c r="FJ50" s="303"/>
      <c r="FK50" s="303"/>
      <c r="FL50" s="303"/>
      <c r="FM50" s="303"/>
      <c r="FN50" s="303"/>
      <c r="FO50" s="303"/>
      <c r="FP50" s="303"/>
      <c r="FQ50" s="303"/>
      <c r="FR50" s="303"/>
      <c r="FS50" s="303"/>
      <c r="FT50" s="303"/>
      <c r="FU50" s="303"/>
      <c r="FV50" s="303"/>
      <c r="FW50" s="303"/>
      <c r="FX50" s="303"/>
      <c r="FY50" s="303"/>
      <c r="FZ50" s="303"/>
      <c r="GA50" s="303"/>
      <c r="GB50" s="303"/>
      <c r="GC50" s="303"/>
      <c r="GD50" s="303"/>
      <c r="GE50" s="303"/>
      <c r="GF50" s="303"/>
      <c r="GG50" s="303"/>
      <c r="GH50" s="303"/>
      <c r="GI50" s="303"/>
      <c r="GJ50" s="303"/>
      <c r="GK50" s="303"/>
      <c r="GL50" s="303"/>
      <c r="GM50" s="303"/>
      <c r="GN50" s="303"/>
      <c r="GO50" s="303"/>
      <c r="GP50" s="303"/>
      <c r="GQ50" s="303"/>
      <c r="GR50" s="303"/>
      <c r="GS50" s="303"/>
      <c r="GT50" s="303"/>
      <c r="GU50" s="303"/>
      <c r="GV50" s="303"/>
      <c r="GW50" s="303"/>
      <c r="GX50" s="303"/>
      <c r="GY50" s="303"/>
    </row>
    <row r="51" spans="1:207" s="639" customFormat="1">
      <c r="A51" s="368" t="s">
        <v>706</v>
      </c>
      <c r="B51" s="701" t="s">
        <v>693</v>
      </c>
      <c r="C51" s="633"/>
      <c r="D51" s="19"/>
      <c r="E51" s="19"/>
      <c r="F51" s="1371">
        <f>252386-(F108*0.8)</f>
        <v>242996.4</v>
      </c>
      <c r="G51" s="19"/>
      <c r="H51" s="19"/>
      <c r="I51" s="1361"/>
      <c r="J51" s="303"/>
      <c r="K51" s="303"/>
      <c r="L51" s="1383"/>
      <c r="M51" s="303"/>
      <c r="N51" s="303"/>
      <c r="O51" s="303"/>
      <c r="P51" s="1437"/>
      <c r="Q51" s="1437"/>
      <c r="R51" s="1437"/>
      <c r="S51" s="1437"/>
      <c r="T51" s="1437"/>
      <c r="U51" s="1437"/>
      <c r="V51" s="1437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  <c r="AW51" s="303"/>
      <c r="AX51" s="303"/>
      <c r="AY51" s="303"/>
      <c r="AZ51" s="303"/>
      <c r="BA51" s="303"/>
      <c r="BB51" s="303"/>
      <c r="BC51" s="303"/>
      <c r="BD51" s="303"/>
      <c r="BE51" s="303"/>
      <c r="BF51" s="303"/>
      <c r="BG51" s="303"/>
      <c r="BH51" s="303"/>
      <c r="BI51" s="303"/>
      <c r="BJ51" s="303"/>
      <c r="BK51" s="303"/>
      <c r="BL51" s="303"/>
      <c r="BM51" s="303"/>
      <c r="BN51" s="303"/>
      <c r="BO51" s="303"/>
      <c r="BP51" s="303"/>
      <c r="BQ51" s="303"/>
      <c r="BR51" s="303"/>
      <c r="BS51" s="303"/>
      <c r="BT51" s="303"/>
      <c r="BU51" s="303"/>
      <c r="BV51" s="303"/>
      <c r="BW51" s="303"/>
      <c r="BX51" s="303"/>
      <c r="BY51" s="303"/>
      <c r="BZ51" s="303"/>
      <c r="CA51" s="303"/>
      <c r="CB51" s="303"/>
      <c r="CC51" s="303"/>
      <c r="CD51" s="303"/>
      <c r="CE51" s="303"/>
      <c r="CF51" s="303"/>
      <c r="CG51" s="303"/>
      <c r="CH51" s="303"/>
      <c r="CI51" s="303"/>
      <c r="CJ51" s="303"/>
      <c r="CK51" s="303"/>
      <c r="CL51" s="303"/>
      <c r="CM51" s="303"/>
      <c r="CN51" s="303"/>
      <c r="CO51" s="303"/>
      <c r="CP51" s="303"/>
      <c r="CQ51" s="303"/>
      <c r="CR51" s="303"/>
      <c r="CS51" s="303"/>
      <c r="CT51" s="303"/>
      <c r="CU51" s="303"/>
      <c r="CV51" s="303"/>
      <c r="CW51" s="303"/>
      <c r="CX51" s="303"/>
      <c r="CY51" s="303"/>
      <c r="CZ51" s="303"/>
      <c r="DA51" s="303"/>
      <c r="DB51" s="303"/>
      <c r="DC51" s="303"/>
      <c r="DD51" s="303"/>
      <c r="DE51" s="303"/>
      <c r="DF51" s="303"/>
      <c r="DG51" s="303"/>
      <c r="DH51" s="303"/>
      <c r="DI51" s="303"/>
      <c r="DJ51" s="303"/>
      <c r="DK51" s="303"/>
      <c r="DL51" s="303"/>
      <c r="DM51" s="303"/>
      <c r="DN51" s="303"/>
      <c r="DO51" s="303"/>
      <c r="DP51" s="303"/>
      <c r="DQ51" s="303"/>
      <c r="DR51" s="303"/>
      <c r="DS51" s="303"/>
      <c r="DT51" s="303"/>
      <c r="DU51" s="303"/>
      <c r="DV51" s="303"/>
      <c r="DW51" s="303"/>
      <c r="DX51" s="303"/>
      <c r="DY51" s="303"/>
      <c r="DZ51" s="303"/>
      <c r="EA51" s="303"/>
      <c r="EB51" s="303"/>
      <c r="EC51" s="303"/>
      <c r="ED51" s="303"/>
      <c r="EE51" s="303"/>
      <c r="EF51" s="303"/>
      <c r="EG51" s="303"/>
      <c r="EH51" s="303"/>
      <c r="EI51" s="303"/>
      <c r="EJ51" s="303"/>
      <c r="EK51" s="303"/>
      <c r="EL51" s="303"/>
      <c r="EM51" s="303"/>
      <c r="EN51" s="303"/>
      <c r="EO51" s="303"/>
      <c r="EP51" s="303"/>
      <c r="EQ51" s="303"/>
      <c r="ER51" s="303"/>
      <c r="ES51" s="303"/>
      <c r="ET51" s="303"/>
      <c r="EU51" s="303"/>
      <c r="EV51" s="303"/>
      <c r="EW51" s="303"/>
      <c r="EX51" s="303"/>
      <c r="EY51" s="303"/>
      <c r="EZ51" s="303"/>
      <c r="FA51" s="303"/>
      <c r="FB51" s="303"/>
      <c r="FC51" s="303"/>
      <c r="FD51" s="303"/>
      <c r="FE51" s="303"/>
      <c r="FF51" s="303"/>
      <c r="FG51" s="303"/>
      <c r="FH51" s="303"/>
      <c r="FI51" s="303"/>
      <c r="FJ51" s="303"/>
      <c r="FK51" s="303"/>
      <c r="FL51" s="303"/>
      <c r="FM51" s="303"/>
      <c r="FN51" s="303"/>
      <c r="FO51" s="303"/>
      <c r="FP51" s="303"/>
      <c r="FQ51" s="303"/>
      <c r="FR51" s="303"/>
      <c r="FS51" s="303"/>
      <c r="FT51" s="303"/>
      <c r="FU51" s="303"/>
      <c r="FV51" s="303"/>
      <c r="FW51" s="303"/>
      <c r="FX51" s="303"/>
      <c r="FY51" s="303"/>
      <c r="FZ51" s="303"/>
      <c r="GA51" s="303"/>
      <c r="GB51" s="303"/>
      <c r="GC51" s="303"/>
      <c r="GD51" s="303"/>
      <c r="GE51" s="303"/>
      <c r="GF51" s="303"/>
      <c r="GG51" s="303"/>
      <c r="GH51" s="303"/>
      <c r="GI51" s="303"/>
      <c r="GJ51" s="303"/>
      <c r="GK51" s="303"/>
      <c r="GL51" s="303"/>
      <c r="GM51" s="303"/>
      <c r="GN51" s="303"/>
      <c r="GO51" s="303"/>
      <c r="GP51" s="303"/>
      <c r="GQ51" s="303"/>
      <c r="GR51" s="303"/>
      <c r="GS51" s="303"/>
      <c r="GT51" s="303"/>
      <c r="GU51" s="303"/>
      <c r="GV51" s="303"/>
      <c r="GW51" s="303"/>
      <c r="GX51" s="303"/>
      <c r="GY51" s="303"/>
    </row>
    <row r="52" spans="1:207" s="639" customFormat="1">
      <c r="A52" s="368" t="s">
        <v>707</v>
      </c>
      <c r="B52" s="701" t="s">
        <v>692</v>
      </c>
      <c r="C52" s="633"/>
      <c r="D52" s="19"/>
      <c r="E52" s="19"/>
      <c r="F52" s="1371">
        <f>59686-(F108*0.2)</f>
        <v>57338.6</v>
      </c>
      <c r="G52" s="19"/>
      <c r="H52" s="19"/>
      <c r="I52" s="1361"/>
      <c r="J52" s="303"/>
      <c r="K52" s="303"/>
      <c r="L52" s="1383"/>
      <c r="M52" s="303"/>
      <c r="N52" s="303"/>
      <c r="O52" s="303"/>
      <c r="P52" s="1437"/>
      <c r="Q52" s="1437"/>
      <c r="R52" s="1437"/>
      <c r="S52" s="1437"/>
      <c r="T52" s="1437"/>
      <c r="U52" s="1437"/>
      <c r="V52" s="1437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  <c r="BC52" s="303"/>
      <c r="BD52" s="303"/>
      <c r="BE52" s="303"/>
      <c r="BF52" s="303"/>
      <c r="BG52" s="303"/>
      <c r="BH52" s="303"/>
      <c r="BI52" s="303"/>
      <c r="BJ52" s="303"/>
      <c r="BK52" s="303"/>
      <c r="BL52" s="303"/>
      <c r="BM52" s="303"/>
      <c r="BN52" s="303"/>
      <c r="BO52" s="303"/>
      <c r="BP52" s="303"/>
      <c r="BQ52" s="303"/>
      <c r="BR52" s="303"/>
      <c r="BS52" s="303"/>
      <c r="BT52" s="303"/>
      <c r="BU52" s="303"/>
      <c r="BV52" s="303"/>
      <c r="BW52" s="303"/>
      <c r="BX52" s="303"/>
      <c r="BY52" s="303"/>
      <c r="BZ52" s="303"/>
      <c r="CA52" s="303"/>
      <c r="CB52" s="303"/>
      <c r="CC52" s="303"/>
      <c r="CD52" s="303"/>
      <c r="CE52" s="303"/>
      <c r="CF52" s="303"/>
      <c r="CG52" s="303"/>
      <c r="CH52" s="303"/>
      <c r="CI52" s="303"/>
      <c r="CJ52" s="303"/>
      <c r="CK52" s="303"/>
      <c r="CL52" s="303"/>
      <c r="CM52" s="303"/>
      <c r="CN52" s="303"/>
      <c r="CO52" s="303"/>
      <c r="CP52" s="303"/>
      <c r="CQ52" s="303"/>
      <c r="CR52" s="303"/>
      <c r="CS52" s="303"/>
      <c r="CT52" s="303"/>
      <c r="CU52" s="303"/>
      <c r="CV52" s="303"/>
      <c r="CW52" s="303"/>
      <c r="CX52" s="303"/>
      <c r="CY52" s="303"/>
      <c r="CZ52" s="303"/>
      <c r="DA52" s="303"/>
      <c r="DB52" s="303"/>
      <c r="DC52" s="303"/>
      <c r="DD52" s="303"/>
      <c r="DE52" s="303"/>
      <c r="DF52" s="303"/>
      <c r="DG52" s="303"/>
      <c r="DH52" s="303"/>
      <c r="DI52" s="303"/>
      <c r="DJ52" s="303"/>
      <c r="DK52" s="303"/>
      <c r="DL52" s="303"/>
      <c r="DM52" s="303"/>
      <c r="DN52" s="303"/>
      <c r="DO52" s="303"/>
      <c r="DP52" s="303"/>
      <c r="DQ52" s="303"/>
      <c r="DR52" s="303"/>
      <c r="DS52" s="303"/>
      <c r="DT52" s="303"/>
      <c r="DU52" s="303"/>
      <c r="DV52" s="303"/>
      <c r="DW52" s="303"/>
      <c r="DX52" s="303"/>
      <c r="DY52" s="303"/>
      <c r="DZ52" s="303"/>
      <c r="EA52" s="303"/>
      <c r="EB52" s="303"/>
      <c r="EC52" s="303"/>
      <c r="ED52" s="303"/>
      <c r="EE52" s="303"/>
      <c r="EF52" s="303"/>
      <c r="EG52" s="303"/>
      <c r="EH52" s="303"/>
      <c r="EI52" s="303"/>
      <c r="EJ52" s="303"/>
      <c r="EK52" s="303"/>
      <c r="EL52" s="303"/>
      <c r="EM52" s="303"/>
      <c r="EN52" s="303"/>
      <c r="EO52" s="303"/>
      <c r="EP52" s="303"/>
      <c r="EQ52" s="303"/>
      <c r="ER52" s="303"/>
      <c r="ES52" s="303"/>
      <c r="ET52" s="303"/>
      <c r="EU52" s="303"/>
      <c r="EV52" s="303"/>
      <c r="EW52" s="303"/>
      <c r="EX52" s="303"/>
      <c r="EY52" s="303"/>
      <c r="EZ52" s="303"/>
      <c r="FA52" s="303"/>
      <c r="FB52" s="303"/>
      <c r="FC52" s="303"/>
      <c r="FD52" s="303"/>
      <c r="FE52" s="303"/>
      <c r="FF52" s="303"/>
      <c r="FG52" s="303"/>
      <c r="FH52" s="303"/>
      <c r="FI52" s="303"/>
      <c r="FJ52" s="303"/>
      <c r="FK52" s="303"/>
      <c r="FL52" s="303"/>
      <c r="FM52" s="303"/>
      <c r="FN52" s="303"/>
      <c r="FO52" s="303"/>
      <c r="FP52" s="303"/>
      <c r="FQ52" s="303"/>
      <c r="FR52" s="303"/>
      <c r="FS52" s="303"/>
      <c r="FT52" s="303"/>
      <c r="FU52" s="303"/>
      <c r="FV52" s="303"/>
      <c r="FW52" s="303"/>
      <c r="FX52" s="303"/>
      <c r="FY52" s="303"/>
      <c r="FZ52" s="303"/>
      <c r="GA52" s="303"/>
      <c r="GB52" s="303"/>
      <c r="GC52" s="303"/>
      <c r="GD52" s="303"/>
      <c r="GE52" s="303"/>
      <c r="GF52" s="303"/>
      <c r="GG52" s="303"/>
      <c r="GH52" s="303"/>
      <c r="GI52" s="303"/>
      <c r="GJ52" s="303"/>
      <c r="GK52" s="303"/>
      <c r="GL52" s="303"/>
      <c r="GM52" s="303"/>
      <c r="GN52" s="303"/>
      <c r="GO52" s="303"/>
      <c r="GP52" s="303"/>
      <c r="GQ52" s="303"/>
      <c r="GR52" s="303"/>
      <c r="GS52" s="303"/>
      <c r="GT52" s="303"/>
      <c r="GU52" s="303"/>
      <c r="GV52" s="303"/>
      <c r="GW52" s="303"/>
      <c r="GX52" s="303"/>
      <c r="GY52" s="303"/>
    </row>
    <row r="53" spans="1:207" s="639" customFormat="1">
      <c r="A53" s="368" t="s">
        <v>708</v>
      </c>
      <c r="B53" s="701" t="s">
        <v>738</v>
      </c>
      <c r="C53" s="633"/>
      <c r="D53" s="19">
        <v>5011</v>
      </c>
      <c r="E53" s="19"/>
      <c r="F53" s="19"/>
      <c r="G53" s="19"/>
      <c r="H53" s="19"/>
      <c r="I53" s="1361"/>
      <c r="J53" s="634"/>
      <c r="K53" s="635"/>
      <c r="L53" s="1382"/>
      <c r="M53" s="634"/>
      <c r="N53" s="635"/>
      <c r="O53" s="636"/>
      <c r="P53" s="1437"/>
      <c r="Q53" s="1437"/>
      <c r="R53" s="1437"/>
      <c r="S53" s="1437"/>
      <c r="T53" s="1437"/>
      <c r="U53" s="1437"/>
      <c r="V53" s="1437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  <c r="BF53" s="303"/>
      <c r="BG53" s="303"/>
      <c r="BH53" s="303"/>
      <c r="BI53" s="303"/>
      <c r="BJ53" s="303"/>
      <c r="BK53" s="303"/>
      <c r="BL53" s="303"/>
      <c r="BM53" s="303"/>
      <c r="BN53" s="303"/>
      <c r="BO53" s="303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3"/>
      <c r="CC53" s="303"/>
      <c r="CD53" s="303"/>
      <c r="CE53" s="303"/>
      <c r="CF53" s="303"/>
      <c r="CG53" s="303"/>
      <c r="CH53" s="303"/>
      <c r="CI53" s="303"/>
      <c r="CJ53" s="303"/>
      <c r="CK53" s="303"/>
      <c r="CL53" s="303"/>
      <c r="CM53" s="303"/>
      <c r="CN53" s="303"/>
      <c r="CO53" s="303"/>
      <c r="CP53" s="303"/>
      <c r="CQ53" s="303"/>
      <c r="CR53" s="303"/>
      <c r="CS53" s="303"/>
      <c r="CT53" s="303"/>
      <c r="CU53" s="303"/>
      <c r="CV53" s="303"/>
      <c r="CW53" s="303"/>
      <c r="CX53" s="303"/>
      <c r="CY53" s="303"/>
      <c r="CZ53" s="303"/>
      <c r="DA53" s="303"/>
      <c r="DB53" s="303"/>
      <c r="DC53" s="303"/>
      <c r="DD53" s="303"/>
      <c r="DE53" s="303"/>
      <c r="DF53" s="303"/>
      <c r="DG53" s="303"/>
      <c r="DH53" s="303"/>
      <c r="DI53" s="303"/>
      <c r="DJ53" s="303"/>
      <c r="DK53" s="303"/>
      <c r="DL53" s="303"/>
      <c r="DM53" s="303"/>
      <c r="DN53" s="303"/>
      <c r="DO53" s="303"/>
      <c r="DP53" s="303"/>
      <c r="DQ53" s="303"/>
      <c r="DR53" s="303"/>
      <c r="DS53" s="303"/>
      <c r="DT53" s="303"/>
      <c r="DU53" s="303"/>
      <c r="DV53" s="303"/>
      <c r="DW53" s="303"/>
      <c r="DX53" s="303"/>
      <c r="DY53" s="303"/>
      <c r="DZ53" s="303"/>
      <c r="EA53" s="303"/>
      <c r="EB53" s="303"/>
      <c r="EC53" s="303"/>
      <c r="ED53" s="303"/>
      <c r="EE53" s="303"/>
      <c r="EF53" s="303"/>
      <c r="EG53" s="303"/>
      <c r="EH53" s="303"/>
      <c r="EI53" s="303"/>
      <c r="EJ53" s="303"/>
      <c r="EK53" s="303"/>
      <c r="EL53" s="303"/>
      <c r="EM53" s="303"/>
      <c r="EN53" s="303"/>
      <c r="EO53" s="303"/>
      <c r="EP53" s="303"/>
      <c r="EQ53" s="303"/>
      <c r="ER53" s="303"/>
      <c r="ES53" s="303"/>
      <c r="ET53" s="303"/>
      <c r="EU53" s="303"/>
      <c r="EV53" s="303"/>
      <c r="EW53" s="303"/>
      <c r="EX53" s="303"/>
      <c r="EY53" s="303"/>
      <c r="EZ53" s="303"/>
      <c r="FA53" s="303"/>
      <c r="FB53" s="303"/>
      <c r="FC53" s="303"/>
      <c r="FD53" s="303"/>
      <c r="FE53" s="303"/>
      <c r="FF53" s="303"/>
      <c r="FG53" s="303"/>
      <c r="FH53" s="303"/>
      <c r="FI53" s="303"/>
      <c r="FJ53" s="303"/>
      <c r="FK53" s="303"/>
      <c r="FL53" s="303"/>
      <c r="FM53" s="303"/>
      <c r="FN53" s="303"/>
      <c r="FO53" s="303"/>
      <c r="FP53" s="303"/>
      <c r="FQ53" s="303"/>
      <c r="FR53" s="303"/>
      <c r="FS53" s="303"/>
      <c r="FT53" s="303"/>
      <c r="FU53" s="303"/>
      <c r="FV53" s="303"/>
      <c r="FW53" s="303"/>
      <c r="FX53" s="303"/>
      <c r="FY53" s="303"/>
      <c r="FZ53" s="303"/>
      <c r="GA53" s="303"/>
      <c r="GB53" s="303"/>
      <c r="GC53" s="303"/>
      <c r="GD53" s="303"/>
      <c r="GE53" s="303"/>
      <c r="GF53" s="303"/>
      <c r="GG53" s="303"/>
      <c r="GH53" s="303"/>
      <c r="GI53" s="303"/>
      <c r="GJ53" s="303"/>
      <c r="GK53" s="303"/>
      <c r="GL53" s="303"/>
      <c r="GM53" s="303"/>
      <c r="GN53" s="303"/>
      <c r="GO53" s="303"/>
      <c r="GP53" s="303"/>
      <c r="GQ53" s="303"/>
      <c r="GR53" s="303"/>
      <c r="GS53" s="303"/>
      <c r="GT53" s="303"/>
      <c r="GU53" s="303"/>
      <c r="GV53" s="303"/>
      <c r="GW53" s="303"/>
      <c r="GX53" s="303"/>
      <c r="GY53" s="303"/>
    </row>
    <row r="54" spans="1:207" s="639" customFormat="1">
      <c r="A54" s="368" t="s">
        <v>709</v>
      </c>
      <c r="B54" s="701" t="s">
        <v>739</v>
      </c>
      <c r="C54" s="633"/>
      <c r="D54" s="19"/>
      <c r="E54" s="19">
        <v>27158</v>
      </c>
      <c r="F54" s="19"/>
      <c r="G54" s="19"/>
      <c r="H54" s="19"/>
      <c r="I54" s="1361"/>
      <c r="J54" s="303"/>
      <c r="K54" s="303"/>
      <c r="L54" s="1383"/>
      <c r="M54" s="303"/>
      <c r="N54" s="303"/>
      <c r="O54" s="303"/>
      <c r="P54" s="1437"/>
      <c r="Q54" s="1437"/>
      <c r="R54" s="1437"/>
      <c r="S54" s="1437"/>
      <c r="T54" s="1437"/>
      <c r="U54" s="1437"/>
      <c r="V54" s="1437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  <c r="BF54" s="303"/>
      <c r="BG54" s="303"/>
      <c r="BH54" s="303"/>
      <c r="BI54" s="303"/>
      <c r="BJ54" s="303"/>
      <c r="BK54" s="303"/>
      <c r="BL54" s="303"/>
      <c r="BM54" s="303"/>
      <c r="BN54" s="303"/>
      <c r="BO54" s="303"/>
      <c r="BP54" s="303"/>
      <c r="BQ54" s="303"/>
      <c r="BR54" s="303"/>
      <c r="BS54" s="303"/>
      <c r="BT54" s="303"/>
      <c r="BU54" s="303"/>
      <c r="BV54" s="303"/>
      <c r="BW54" s="303"/>
      <c r="BX54" s="303"/>
      <c r="BY54" s="303"/>
      <c r="BZ54" s="303"/>
      <c r="CA54" s="303"/>
      <c r="CB54" s="303"/>
      <c r="CC54" s="303"/>
      <c r="CD54" s="303"/>
      <c r="CE54" s="303"/>
      <c r="CF54" s="303"/>
      <c r="CG54" s="303"/>
      <c r="CH54" s="303"/>
      <c r="CI54" s="303"/>
      <c r="CJ54" s="303"/>
      <c r="CK54" s="303"/>
      <c r="CL54" s="303"/>
      <c r="CM54" s="303"/>
      <c r="CN54" s="303"/>
      <c r="CO54" s="303"/>
      <c r="CP54" s="303"/>
      <c r="CQ54" s="303"/>
      <c r="CR54" s="303"/>
      <c r="CS54" s="303"/>
      <c r="CT54" s="303"/>
      <c r="CU54" s="303"/>
      <c r="CV54" s="303"/>
      <c r="CW54" s="303"/>
      <c r="CX54" s="303"/>
      <c r="CY54" s="303"/>
      <c r="CZ54" s="303"/>
      <c r="DA54" s="303"/>
      <c r="DB54" s="303"/>
      <c r="DC54" s="303"/>
      <c r="DD54" s="303"/>
      <c r="DE54" s="303"/>
      <c r="DF54" s="303"/>
      <c r="DG54" s="303"/>
      <c r="DH54" s="303"/>
      <c r="DI54" s="303"/>
      <c r="DJ54" s="303"/>
      <c r="DK54" s="303"/>
      <c r="DL54" s="303"/>
      <c r="DM54" s="303"/>
      <c r="DN54" s="303"/>
      <c r="DO54" s="303"/>
      <c r="DP54" s="303"/>
      <c r="DQ54" s="303"/>
      <c r="DR54" s="303"/>
      <c r="DS54" s="303"/>
      <c r="DT54" s="303"/>
      <c r="DU54" s="303"/>
      <c r="DV54" s="303"/>
      <c r="DW54" s="303"/>
      <c r="DX54" s="303"/>
      <c r="DY54" s="303"/>
      <c r="DZ54" s="303"/>
      <c r="EA54" s="303"/>
      <c r="EB54" s="303"/>
      <c r="EC54" s="303"/>
      <c r="ED54" s="303"/>
      <c r="EE54" s="303"/>
      <c r="EF54" s="303"/>
      <c r="EG54" s="303"/>
      <c r="EH54" s="303"/>
      <c r="EI54" s="303"/>
      <c r="EJ54" s="303"/>
      <c r="EK54" s="303"/>
      <c r="EL54" s="303"/>
      <c r="EM54" s="303"/>
      <c r="EN54" s="303"/>
      <c r="EO54" s="303"/>
      <c r="EP54" s="303"/>
      <c r="EQ54" s="303"/>
      <c r="ER54" s="303"/>
      <c r="ES54" s="303"/>
      <c r="ET54" s="303"/>
      <c r="EU54" s="303"/>
      <c r="EV54" s="303"/>
      <c r="EW54" s="303"/>
      <c r="EX54" s="303"/>
      <c r="EY54" s="303"/>
      <c r="EZ54" s="303"/>
      <c r="FA54" s="303"/>
      <c r="FB54" s="303"/>
      <c r="FC54" s="303"/>
      <c r="FD54" s="303"/>
      <c r="FE54" s="303"/>
      <c r="FF54" s="303"/>
      <c r="FG54" s="303"/>
      <c r="FH54" s="303"/>
      <c r="FI54" s="303"/>
      <c r="FJ54" s="303"/>
      <c r="FK54" s="303"/>
      <c r="FL54" s="303"/>
      <c r="FM54" s="303"/>
      <c r="FN54" s="303"/>
      <c r="FO54" s="303"/>
      <c r="FP54" s="303"/>
      <c r="FQ54" s="303"/>
      <c r="FR54" s="303"/>
      <c r="FS54" s="303"/>
      <c r="FT54" s="303"/>
      <c r="FU54" s="303"/>
      <c r="FV54" s="303"/>
      <c r="FW54" s="303"/>
      <c r="FX54" s="303"/>
      <c r="FY54" s="303"/>
      <c r="FZ54" s="303"/>
      <c r="GA54" s="303"/>
      <c r="GB54" s="303"/>
      <c r="GC54" s="303"/>
      <c r="GD54" s="303"/>
      <c r="GE54" s="303"/>
      <c r="GF54" s="303"/>
      <c r="GG54" s="303"/>
      <c r="GH54" s="303"/>
      <c r="GI54" s="303"/>
      <c r="GJ54" s="303"/>
      <c r="GK54" s="303"/>
      <c r="GL54" s="303"/>
      <c r="GM54" s="303"/>
      <c r="GN54" s="303"/>
      <c r="GO54" s="303"/>
      <c r="GP54" s="303"/>
      <c r="GQ54" s="303"/>
      <c r="GR54" s="303"/>
      <c r="GS54" s="303"/>
      <c r="GT54" s="303"/>
      <c r="GU54" s="303"/>
      <c r="GV54" s="303"/>
      <c r="GW54" s="303"/>
      <c r="GX54" s="303"/>
      <c r="GY54" s="303"/>
    </row>
    <row r="55" spans="1:207" s="639" customFormat="1">
      <c r="A55" s="368" t="s">
        <v>710</v>
      </c>
      <c r="B55" s="701" t="s">
        <v>1252</v>
      </c>
      <c r="C55" s="633"/>
      <c r="D55" s="19"/>
      <c r="E55" s="19">
        <v>30000</v>
      </c>
      <c r="F55" s="19"/>
      <c r="G55" s="19"/>
      <c r="H55" s="19"/>
      <c r="I55" s="1361"/>
      <c r="J55" s="634"/>
      <c r="K55" s="635"/>
      <c r="L55" s="1382"/>
      <c r="M55" s="634"/>
      <c r="N55" s="635"/>
      <c r="O55" s="636"/>
      <c r="P55" s="1437"/>
      <c r="Q55" s="1437"/>
      <c r="R55" s="1437"/>
      <c r="S55" s="1437"/>
      <c r="T55" s="1437"/>
      <c r="U55" s="1437"/>
      <c r="V55" s="1437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  <c r="BC55" s="303"/>
      <c r="BD55" s="303"/>
      <c r="BE55" s="303"/>
      <c r="BF55" s="303"/>
      <c r="BG55" s="303"/>
      <c r="BH55" s="303"/>
      <c r="BI55" s="303"/>
      <c r="BJ55" s="303"/>
      <c r="BK55" s="303"/>
      <c r="BL55" s="303"/>
      <c r="BM55" s="303"/>
      <c r="BN55" s="303"/>
      <c r="BO55" s="303"/>
      <c r="BP55" s="303"/>
      <c r="BQ55" s="303"/>
      <c r="BR55" s="303"/>
      <c r="BS55" s="303"/>
      <c r="BT55" s="303"/>
      <c r="BU55" s="303"/>
      <c r="BV55" s="303"/>
      <c r="BW55" s="303"/>
      <c r="BX55" s="303"/>
      <c r="BY55" s="303"/>
      <c r="BZ55" s="303"/>
      <c r="CA55" s="303"/>
      <c r="CB55" s="303"/>
      <c r="CC55" s="303"/>
      <c r="CD55" s="303"/>
      <c r="CE55" s="303"/>
      <c r="CF55" s="303"/>
      <c r="CG55" s="303"/>
      <c r="CH55" s="303"/>
      <c r="CI55" s="303"/>
      <c r="CJ55" s="303"/>
      <c r="CK55" s="303"/>
      <c r="CL55" s="303"/>
      <c r="CM55" s="303"/>
      <c r="CN55" s="303"/>
      <c r="CO55" s="303"/>
      <c r="CP55" s="303"/>
      <c r="CQ55" s="303"/>
      <c r="CR55" s="303"/>
      <c r="CS55" s="303"/>
      <c r="CT55" s="303"/>
      <c r="CU55" s="303"/>
      <c r="CV55" s="303"/>
      <c r="CW55" s="303"/>
      <c r="CX55" s="303"/>
      <c r="CY55" s="303"/>
      <c r="CZ55" s="303"/>
      <c r="DA55" s="303"/>
      <c r="DB55" s="303"/>
      <c r="DC55" s="303"/>
      <c r="DD55" s="303"/>
      <c r="DE55" s="303"/>
      <c r="DF55" s="303"/>
      <c r="DG55" s="303"/>
      <c r="DH55" s="303"/>
      <c r="DI55" s="303"/>
      <c r="DJ55" s="303"/>
      <c r="DK55" s="303"/>
      <c r="DL55" s="303"/>
      <c r="DM55" s="303"/>
      <c r="DN55" s="303"/>
      <c r="DO55" s="303"/>
      <c r="DP55" s="303"/>
      <c r="DQ55" s="303"/>
      <c r="DR55" s="303"/>
      <c r="DS55" s="303"/>
      <c r="DT55" s="303"/>
      <c r="DU55" s="303"/>
      <c r="DV55" s="303"/>
      <c r="DW55" s="303"/>
      <c r="DX55" s="303"/>
      <c r="DY55" s="303"/>
      <c r="DZ55" s="303"/>
      <c r="EA55" s="303"/>
      <c r="EB55" s="303"/>
      <c r="EC55" s="303"/>
      <c r="ED55" s="303"/>
      <c r="EE55" s="303"/>
      <c r="EF55" s="303"/>
      <c r="EG55" s="303"/>
      <c r="EH55" s="303"/>
      <c r="EI55" s="303"/>
      <c r="EJ55" s="303"/>
      <c r="EK55" s="303"/>
      <c r="EL55" s="303"/>
      <c r="EM55" s="303"/>
      <c r="EN55" s="303"/>
      <c r="EO55" s="303"/>
      <c r="EP55" s="303"/>
      <c r="EQ55" s="303"/>
      <c r="ER55" s="303"/>
      <c r="ES55" s="303"/>
      <c r="ET55" s="303"/>
      <c r="EU55" s="303"/>
      <c r="EV55" s="303"/>
      <c r="EW55" s="303"/>
      <c r="EX55" s="303"/>
      <c r="EY55" s="303"/>
      <c r="EZ55" s="303"/>
      <c r="FA55" s="303"/>
      <c r="FB55" s="303"/>
      <c r="FC55" s="303"/>
      <c r="FD55" s="303"/>
      <c r="FE55" s="303"/>
      <c r="FF55" s="303"/>
      <c r="FG55" s="303"/>
      <c r="FH55" s="303"/>
      <c r="FI55" s="303"/>
      <c r="FJ55" s="303"/>
      <c r="FK55" s="303"/>
      <c r="FL55" s="303"/>
      <c r="FM55" s="303"/>
      <c r="FN55" s="303"/>
      <c r="FO55" s="303"/>
      <c r="FP55" s="303"/>
      <c r="FQ55" s="303"/>
      <c r="FR55" s="303"/>
      <c r="FS55" s="303"/>
      <c r="FT55" s="303"/>
      <c r="FU55" s="303"/>
      <c r="FV55" s="303"/>
      <c r="FW55" s="303"/>
      <c r="FX55" s="303"/>
      <c r="FY55" s="303"/>
      <c r="FZ55" s="303"/>
      <c r="GA55" s="303"/>
      <c r="GB55" s="303"/>
      <c r="GC55" s="303"/>
      <c r="GD55" s="303"/>
      <c r="GE55" s="303"/>
      <c r="GF55" s="303"/>
      <c r="GG55" s="303"/>
      <c r="GH55" s="303"/>
      <c r="GI55" s="303"/>
      <c r="GJ55" s="303"/>
      <c r="GK55" s="303"/>
      <c r="GL55" s="303"/>
      <c r="GM55" s="303"/>
      <c r="GN55" s="303"/>
      <c r="GO55" s="303"/>
      <c r="GP55" s="303"/>
      <c r="GQ55" s="303"/>
      <c r="GR55" s="303"/>
      <c r="GS55" s="303"/>
      <c r="GT55" s="303"/>
      <c r="GU55" s="303"/>
      <c r="GV55" s="303"/>
      <c r="GW55" s="303"/>
      <c r="GX55" s="303"/>
      <c r="GY55" s="303"/>
    </row>
    <row r="56" spans="1:207" s="639" customFormat="1">
      <c r="A56" s="368" t="s">
        <v>711</v>
      </c>
      <c r="B56" s="701" t="s">
        <v>791</v>
      </c>
      <c r="C56" s="633"/>
      <c r="D56" s="19"/>
      <c r="E56" s="19"/>
      <c r="F56" s="19">
        <v>6500</v>
      </c>
      <c r="G56" s="19"/>
      <c r="H56" s="19"/>
      <c r="I56" s="1361"/>
      <c r="J56" s="634"/>
      <c r="K56" s="635"/>
      <c r="L56" s="1382"/>
      <c r="M56" s="634"/>
      <c r="N56" s="635"/>
      <c r="O56" s="636"/>
      <c r="P56" s="1437"/>
      <c r="Q56" s="1437"/>
      <c r="R56" s="1437"/>
      <c r="S56" s="1437"/>
      <c r="T56" s="1437"/>
      <c r="U56" s="1437"/>
      <c r="V56" s="1437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  <c r="AM56" s="303"/>
      <c r="AN56" s="303"/>
      <c r="AO56" s="303"/>
      <c r="AP56" s="303"/>
      <c r="AQ56" s="303"/>
      <c r="AR56" s="303"/>
      <c r="AS56" s="303"/>
      <c r="AT56" s="303"/>
      <c r="AU56" s="303"/>
      <c r="AV56" s="303"/>
      <c r="AW56" s="303"/>
      <c r="AX56" s="303"/>
      <c r="AY56" s="303"/>
      <c r="AZ56" s="303"/>
      <c r="BA56" s="303"/>
      <c r="BB56" s="303"/>
      <c r="BC56" s="303"/>
      <c r="BD56" s="303"/>
      <c r="BE56" s="303"/>
      <c r="BF56" s="303"/>
      <c r="BG56" s="303"/>
      <c r="BH56" s="303"/>
      <c r="BI56" s="303"/>
      <c r="BJ56" s="303"/>
      <c r="BK56" s="303"/>
      <c r="BL56" s="303"/>
      <c r="BM56" s="303"/>
      <c r="BN56" s="303"/>
      <c r="BO56" s="303"/>
      <c r="BP56" s="303"/>
      <c r="BQ56" s="303"/>
      <c r="BR56" s="303"/>
      <c r="BS56" s="303"/>
      <c r="BT56" s="303"/>
      <c r="BU56" s="303"/>
      <c r="BV56" s="303"/>
      <c r="BW56" s="303"/>
      <c r="BX56" s="303"/>
      <c r="BY56" s="303"/>
      <c r="BZ56" s="303"/>
      <c r="CA56" s="303"/>
      <c r="CB56" s="303"/>
      <c r="CC56" s="303"/>
      <c r="CD56" s="303"/>
      <c r="CE56" s="303"/>
      <c r="CF56" s="303"/>
      <c r="CG56" s="303"/>
      <c r="CH56" s="303"/>
      <c r="CI56" s="303"/>
      <c r="CJ56" s="303"/>
      <c r="CK56" s="303"/>
      <c r="CL56" s="303"/>
      <c r="CM56" s="303"/>
      <c r="CN56" s="303"/>
      <c r="CO56" s="303"/>
      <c r="CP56" s="303"/>
      <c r="CQ56" s="303"/>
      <c r="CR56" s="303"/>
      <c r="CS56" s="303"/>
      <c r="CT56" s="303"/>
      <c r="CU56" s="303"/>
      <c r="CV56" s="303"/>
      <c r="CW56" s="303"/>
      <c r="CX56" s="303"/>
      <c r="CY56" s="303"/>
      <c r="CZ56" s="303"/>
      <c r="DA56" s="303"/>
      <c r="DB56" s="303"/>
      <c r="DC56" s="303"/>
      <c r="DD56" s="303"/>
      <c r="DE56" s="303"/>
      <c r="DF56" s="303"/>
      <c r="DG56" s="303"/>
      <c r="DH56" s="303"/>
      <c r="DI56" s="303"/>
      <c r="DJ56" s="303"/>
      <c r="DK56" s="303"/>
      <c r="DL56" s="303"/>
      <c r="DM56" s="303"/>
      <c r="DN56" s="303"/>
      <c r="DO56" s="303"/>
      <c r="DP56" s="303"/>
      <c r="DQ56" s="303"/>
      <c r="DR56" s="303"/>
      <c r="DS56" s="303"/>
      <c r="DT56" s="303"/>
      <c r="DU56" s="303"/>
      <c r="DV56" s="303"/>
      <c r="DW56" s="303"/>
      <c r="DX56" s="303"/>
      <c r="DY56" s="303"/>
      <c r="DZ56" s="303"/>
      <c r="EA56" s="303"/>
      <c r="EB56" s="303"/>
      <c r="EC56" s="303"/>
      <c r="ED56" s="303"/>
      <c r="EE56" s="303"/>
      <c r="EF56" s="303"/>
      <c r="EG56" s="303"/>
      <c r="EH56" s="303"/>
      <c r="EI56" s="303"/>
      <c r="EJ56" s="303"/>
      <c r="EK56" s="303"/>
      <c r="EL56" s="303"/>
      <c r="EM56" s="303"/>
      <c r="EN56" s="303"/>
      <c r="EO56" s="303"/>
      <c r="EP56" s="303"/>
      <c r="EQ56" s="303"/>
      <c r="ER56" s="303"/>
      <c r="ES56" s="303"/>
      <c r="ET56" s="303"/>
      <c r="EU56" s="303"/>
      <c r="EV56" s="303"/>
      <c r="EW56" s="303"/>
      <c r="EX56" s="303"/>
      <c r="EY56" s="303"/>
      <c r="EZ56" s="303"/>
      <c r="FA56" s="303"/>
      <c r="FB56" s="303"/>
      <c r="FC56" s="303"/>
      <c r="FD56" s="303"/>
      <c r="FE56" s="303"/>
      <c r="FF56" s="303"/>
      <c r="FG56" s="303"/>
      <c r="FH56" s="303"/>
      <c r="FI56" s="303"/>
      <c r="FJ56" s="303"/>
      <c r="FK56" s="303"/>
      <c r="FL56" s="303"/>
      <c r="FM56" s="303"/>
      <c r="FN56" s="303"/>
      <c r="FO56" s="303"/>
      <c r="FP56" s="303"/>
      <c r="FQ56" s="303"/>
      <c r="FR56" s="303"/>
      <c r="FS56" s="303"/>
      <c r="FT56" s="303"/>
      <c r="FU56" s="303"/>
      <c r="FV56" s="303"/>
      <c r="FW56" s="303"/>
      <c r="FX56" s="303"/>
      <c r="FY56" s="303"/>
      <c r="FZ56" s="303"/>
      <c r="GA56" s="303"/>
      <c r="GB56" s="303"/>
      <c r="GC56" s="303"/>
      <c r="GD56" s="303"/>
      <c r="GE56" s="303"/>
      <c r="GF56" s="303"/>
      <c r="GG56" s="303"/>
      <c r="GH56" s="303"/>
      <c r="GI56" s="303"/>
      <c r="GJ56" s="303"/>
      <c r="GK56" s="303"/>
      <c r="GL56" s="303"/>
      <c r="GM56" s="303"/>
      <c r="GN56" s="303"/>
      <c r="GO56" s="303"/>
      <c r="GP56" s="303"/>
      <c r="GQ56" s="303"/>
      <c r="GR56" s="303"/>
      <c r="GS56" s="303"/>
      <c r="GT56" s="303"/>
      <c r="GU56" s="303"/>
      <c r="GV56" s="303"/>
      <c r="GW56" s="303"/>
      <c r="GX56" s="303"/>
      <c r="GY56" s="303"/>
    </row>
    <row r="57" spans="1:207" s="639" customFormat="1">
      <c r="A57" s="368" t="s">
        <v>920</v>
      </c>
      <c r="B57" s="703" t="s">
        <v>637</v>
      </c>
      <c r="C57" s="633"/>
      <c r="D57" s="19">
        <v>150942</v>
      </c>
      <c r="E57" s="19">
        <v>54546</v>
      </c>
      <c r="F57" s="19"/>
      <c r="G57" s="19"/>
      <c r="H57" s="19"/>
      <c r="I57" s="1361"/>
      <c r="J57" s="634"/>
      <c r="K57" s="635"/>
      <c r="L57" s="1382"/>
      <c r="M57" s="634"/>
      <c r="N57" s="635"/>
      <c r="O57" s="636"/>
      <c r="P57" s="1437"/>
      <c r="Q57" s="1437"/>
      <c r="R57" s="1437"/>
      <c r="S57" s="1437"/>
      <c r="T57" s="1437"/>
      <c r="U57" s="1437"/>
      <c r="V57" s="1437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3"/>
      <c r="AQ57" s="303"/>
      <c r="AR57" s="303"/>
      <c r="AS57" s="303"/>
      <c r="AT57" s="303"/>
      <c r="AU57" s="303"/>
      <c r="AV57" s="303"/>
      <c r="AW57" s="303"/>
      <c r="AX57" s="303"/>
      <c r="AY57" s="303"/>
      <c r="AZ57" s="303"/>
      <c r="BA57" s="303"/>
      <c r="BB57" s="303"/>
      <c r="BC57" s="303"/>
      <c r="BD57" s="303"/>
      <c r="BE57" s="303"/>
      <c r="BF57" s="303"/>
      <c r="BG57" s="303"/>
      <c r="BH57" s="303"/>
      <c r="BI57" s="303"/>
      <c r="BJ57" s="303"/>
      <c r="BK57" s="303"/>
      <c r="BL57" s="303"/>
      <c r="BM57" s="303"/>
      <c r="BN57" s="303"/>
      <c r="BO57" s="303"/>
      <c r="BP57" s="303"/>
      <c r="BQ57" s="303"/>
      <c r="BR57" s="303"/>
      <c r="BS57" s="303"/>
      <c r="BT57" s="303"/>
      <c r="BU57" s="303"/>
      <c r="BV57" s="303"/>
      <c r="BW57" s="303"/>
      <c r="BX57" s="303"/>
      <c r="BY57" s="303"/>
      <c r="BZ57" s="303"/>
      <c r="CA57" s="303"/>
      <c r="CB57" s="303"/>
      <c r="CC57" s="303"/>
      <c r="CD57" s="303"/>
      <c r="CE57" s="303"/>
      <c r="CF57" s="303"/>
      <c r="CG57" s="303"/>
      <c r="CH57" s="303"/>
      <c r="CI57" s="303"/>
      <c r="CJ57" s="303"/>
      <c r="CK57" s="303"/>
      <c r="CL57" s="303"/>
      <c r="CM57" s="303"/>
      <c r="CN57" s="303"/>
      <c r="CO57" s="303"/>
      <c r="CP57" s="303"/>
      <c r="CQ57" s="303"/>
      <c r="CR57" s="303"/>
      <c r="CS57" s="303"/>
      <c r="CT57" s="303"/>
      <c r="CU57" s="303"/>
      <c r="CV57" s="303"/>
      <c r="CW57" s="303"/>
      <c r="CX57" s="303"/>
      <c r="CY57" s="303"/>
      <c r="CZ57" s="303"/>
      <c r="DA57" s="303"/>
      <c r="DB57" s="303"/>
      <c r="DC57" s="303"/>
      <c r="DD57" s="303"/>
      <c r="DE57" s="303"/>
      <c r="DF57" s="303"/>
      <c r="DG57" s="303"/>
      <c r="DH57" s="303"/>
      <c r="DI57" s="303"/>
      <c r="DJ57" s="303"/>
      <c r="DK57" s="303"/>
      <c r="DL57" s="303"/>
      <c r="DM57" s="303"/>
      <c r="DN57" s="303"/>
      <c r="DO57" s="303"/>
      <c r="DP57" s="303"/>
      <c r="DQ57" s="303"/>
      <c r="DR57" s="303"/>
      <c r="DS57" s="303"/>
      <c r="DT57" s="303"/>
      <c r="DU57" s="303"/>
      <c r="DV57" s="303"/>
      <c r="DW57" s="303"/>
      <c r="DX57" s="303"/>
      <c r="DY57" s="303"/>
      <c r="DZ57" s="303"/>
      <c r="EA57" s="303"/>
      <c r="EB57" s="303"/>
      <c r="EC57" s="303"/>
      <c r="ED57" s="303"/>
      <c r="EE57" s="303"/>
      <c r="EF57" s="303"/>
      <c r="EG57" s="303"/>
      <c r="EH57" s="303"/>
      <c r="EI57" s="303"/>
      <c r="EJ57" s="303"/>
      <c r="EK57" s="303"/>
      <c r="EL57" s="303"/>
      <c r="EM57" s="303"/>
      <c r="EN57" s="303"/>
      <c r="EO57" s="303"/>
      <c r="EP57" s="303"/>
      <c r="EQ57" s="303"/>
      <c r="ER57" s="303"/>
      <c r="ES57" s="303"/>
      <c r="ET57" s="303"/>
      <c r="EU57" s="303"/>
      <c r="EV57" s="303"/>
      <c r="EW57" s="303"/>
      <c r="EX57" s="303"/>
      <c r="EY57" s="303"/>
      <c r="EZ57" s="303"/>
      <c r="FA57" s="303"/>
      <c r="FB57" s="303"/>
      <c r="FC57" s="303"/>
      <c r="FD57" s="303"/>
      <c r="FE57" s="303"/>
      <c r="FF57" s="303"/>
      <c r="FG57" s="303"/>
      <c r="FH57" s="303"/>
      <c r="FI57" s="303"/>
      <c r="FJ57" s="303"/>
      <c r="FK57" s="303"/>
      <c r="FL57" s="303"/>
      <c r="FM57" s="303"/>
      <c r="FN57" s="303"/>
      <c r="FO57" s="303"/>
      <c r="FP57" s="303"/>
      <c r="FQ57" s="303"/>
      <c r="FR57" s="303"/>
      <c r="FS57" s="303"/>
      <c r="FT57" s="303"/>
      <c r="FU57" s="303"/>
      <c r="FV57" s="303"/>
      <c r="FW57" s="303"/>
      <c r="FX57" s="303"/>
      <c r="FY57" s="303"/>
      <c r="FZ57" s="303"/>
      <c r="GA57" s="303"/>
      <c r="GB57" s="303"/>
      <c r="GC57" s="303"/>
      <c r="GD57" s="303"/>
      <c r="GE57" s="303"/>
      <c r="GF57" s="303"/>
      <c r="GG57" s="303"/>
      <c r="GH57" s="303"/>
      <c r="GI57" s="303"/>
      <c r="GJ57" s="303"/>
      <c r="GK57" s="303"/>
      <c r="GL57" s="303"/>
      <c r="GM57" s="303"/>
      <c r="GN57" s="303"/>
      <c r="GO57" s="303"/>
      <c r="GP57" s="303"/>
      <c r="GQ57" s="303"/>
      <c r="GR57" s="303"/>
      <c r="GS57" s="303"/>
      <c r="GT57" s="303"/>
      <c r="GU57" s="303"/>
      <c r="GV57" s="303"/>
      <c r="GW57" s="303"/>
      <c r="GX57" s="303"/>
      <c r="GY57" s="303"/>
    </row>
    <row r="58" spans="1:207" s="639" customFormat="1">
      <c r="A58" s="368" t="s">
        <v>921</v>
      </c>
      <c r="B58" s="703" t="s">
        <v>740</v>
      </c>
      <c r="C58" s="633"/>
      <c r="D58" s="19">
        <v>14206</v>
      </c>
      <c r="E58" s="19"/>
      <c r="F58" s="19"/>
      <c r="G58" s="19"/>
      <c r="H58" s="19"/>
      <c r="I58" s="1361"/>
      <c r="J58" s="634"/>
      <c r="K58" s="635"/>
      <c r="L58" s="1382"/>
      <c r="M58" s="634"/>
      <c r="N58" s="635"/>
      <c r="O58" s="636"/>
      <c r="P58" s="1437"/>
      <c r="Q58" s="1437"/>
      <c r="R58" s="1437"/>
      <c r="S58" s="1437"/>
      <c r="T58" s="1437"/>
      <c r="U58" s="1437"/>
      <c r="V58" s="1437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303"/>
      <c r="BC58" s="303"/>
      <c r="BD58" s="303"/>
      <c r="BE58" s="303"/>
      <c r="BF58" s="303"/>
      <c r="BG58" s="303"/>
      <c r="BH58" s="303"/>
      <c r="BI58" s="303"/>
      <c r="BJ58" s="303"/>
      <c r="BK58" s="303"/>
      <c r="BL58" s="303"/>
      <c r="BM58" s="303"/>
      <c r="BN58" s="303"/>
      <c r="BO58" s="303"/>
      <c r="BP58" s="303"/>
      <c r="BQ58" s="303"/>
      <c r="BR58" s="303"/>
      <c r="BS58" s="303"/>
      <c r="BT58" s="303"/>
      <c r="BU58" s="303"/>
      <c r="BV58" s="303"/>
      <c r="BW58" s="303"/>
      <c r="BX58" s="303"/>
      <c r="BY58" s="303"/>
      <c r="BZ58" s="303"/>
      <c r="CA58" s="303"/>
      <c r="CB58" s="303"/>
      <c r="CC58" s="303"/>
      <c r="CD58" s="303"/>
      <c r="CE58" s="303"/>
      <c r="CF58" s="303"/>
      <c r="CG58" s="303"/>
      <c r="CH58" s="303"/>
      <c r="CI58" s="303"/>
      <c r="CJ58" s="303"/>
      <c r="CK58" s="303"/>
      <c r="CL58" s="303"/>
      <c r="CM58" s="303"/>
      <c r="CN58" s="303"/>
      <c r="CO58" s="303"/>
      <c r="CP58" s="303"/>
      <c r="CQ58" s="303"/>
      <c r="CR58" s="303"/>
      <c r="CS58" s="303"/>
      <c r="CT58" s="303"/>
      <c r="CU58" s="303"/>
      <c r="CV58" s="303"/>
      <c r="CW58" s="303"/>
      <c r="CX58" s="303"/>
      <c r="CY58" s="303"/>
      <c r="CZ58" s="303"/>
      <c r="DA58" s="303"/>
      <c r="DB58" s="303"/>
      <c r="DC58" s="303"/>
      <c r="DD58" s="303"/>
      <c r="DE58" s="303"/>
      <c r="DF58" s="303"/>
      <c r="DG58" s="303"/>
      <c r="DH58" s="303"/>
      <c r="DI58" s="303"/>
      <c r="DJ58" s="303"/>
      <c r="DK58" s="303"/>
      <c r="DL58" s="303"/>
      <c r="DM58" s="303"/>
      <c r="DN58" s="303"/>
      <c r="DO58" s="303"/>
      <c r="DP58" s="303"/>
      <c r="DQ58" s="303"/>
      <c r="DR58" s="303"/>
      <c r="DS58" s="303"/>
      <c r="DT58" s="303"/>
      <c r="DU58" s="303"/>
      <c r="DV58" s="303"/>
      <c r="DW58" s="303"/>
      <c r="DX58" s="303"/>
      <c r="DY58" s="303"/>
      <c r="DZ58" s="303"/>
      <c r="EA58" s="303"/>
      <c r="EB58" s="303"/>
      <c r="EC58" s="303"/>
      <c r="ED58" s="303"/>
      <c r="EE58" s="303"/>
      <c r="EF58" s="303"/>
      <c r="EG58" s="303"/>
      <c r="EH58" s="303"/>
      <c r="EI58" s="303"/>
      <c r="EJ58" s="303"/>
      <c r="EK58" s="303"/>
      <c r="EL58" s="303"/>
      <c r="EM58" s="303"/>
      <c r="EN58" s="303"/>
      <c r="EO58" s="303"/>
      <c r="EP58" s="303"/>
      <c r="EQ58" s="303"/>
      <c r="ER58" s="303"/>
      <c r="ES58" s="303"/>
      <c r="ET58" s="303"/>
      <c r="EU58" s="303"/>
      <c r="EV58" s="303"/>
      <c r="EW58" s="303"/>
      <c r="EX58" s="303"/>
      <c r="EY58" s="303"/>
      <c r="EZ58" s="303"/>
      <c r="FA58" s="303"/>
      <c r="FB58" s="303"/>
      <c r="FC58" s="303"/>
      <c r="FD58" s="303"/>
      <c r="FE58" s="303"/>
      <c r="FF58" s="303"/>
      <c r="FG58" s="303"/>
      <c r="FH58" s="303"/>
      <c r="FI58" s="303"/>
      <c r="FJ58" s="303"/>
      <c r="FK58" s="303"/>
      <c r="FL58" s="303"/>
      <c r="FM58" s="303"/>
      <c r="FN58" s="303"/>
      <c r="FO58" s="303"/>
      <c r="FP58" s="303"/>
      <c r="FQ58" s="303"/>
      <c r="FR58" s="303"/>
      <c r="FS58" s="303"/>
      <c r="FT58" s="303"/>
      <c r="FU58" s="303"/>
      <c r="FV58" s="303"/>
      <c r="FW58" s="303"/>
      <c r="FX58" s="303"/>
      <c r="FY58" s="303"/>
      <c r="FZ58" s="303"/>
      <c r="GA58" s="303"/>
      <c r="GB58" s="303"/>
      <c r="GC58" s="303"/>
      <c r="GD58" s="303"/>
      <c r="GE58" s="303"/>
      <c r="GF58" s="303"/>
      <c r="GG58" s="303"/>
      <c r="GH58" s="303"/>
      <c r="GI58" s="303"/>
      <c r="GJ58" s="303"/>
      <c r="GK58" s="303"/>
      <c r="GL58" s="303"/>
      <c r="GM58" s="303"/>
      <c r="GN58" s="303"/>
      <c r="GO58" s="303"/>
      <c r="GP58" s="303"/>
      <c r="GQ58" s="303"/>
      <c r="GR58" s="303"/>
      <c r="GS58" s="303"/>
      <c r="GT58" s="303"/>
      <c r="GU58" s="303"/>
      <c r="GV58" s="303"/>
      <c r="GW58" s="303"/>
      <c r="GX58" s="303"/>
      <c r="GY58" s="303"/>
    </row>
    <row r="59" spans="1:207" s="639" customFormat="1">
      <c r="A59" s="368" t="s">
        <v>922</v>
      </c>
      <c r="B59" s="703" t="s">
        <v>653</v>
      </c>
      <c r="C59" s="633"/>
      <c r="D59" s="19"/>
      <c r="E59" s="19">
        <v>710907</v>
      </c>
      <c r="F59" s="19"/>
      <c r="G59" s="19"/>
      <c r="H59" s="19"/>
      <c r="I59" s="1361"/>
      <c r="J59" s="634"/>
      <c r="K59" s="635"/>
      <c r="L59" s="1382"/>
      <c r="M59" s="634"/>
      <c r="N59" s="635"/>
      <c r="O59" s="636"/>
      <c r="P59" s="1437"/>
      <c r="Q59" s="1437"/>
      <c r="R59" s="1437"/>
      <c r="S59" s="1437"/>
      <c r="T59" s="1437"/>
      <c r="U59" s="1437"/>
      <c r="V59" s="1437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303"/>
      <c r="BD59" s="303"/>
      <c r="BE59" s="303"/>
      <c r="BF59" s="303"/>
      <c r="BG59" s="303"/>
      <c r="BH59" s="303"/>
      <c r="BI59" s="303"/>
      <c r="BJ59" s="303"/>
      <c r="BK59" s="303"/>
      <c r="BL59" s="303"/>
      <c r="BM59" s="303"/>
      <c r="BN59" s="303"/>
      <c r="BO59" s="303"/>
      <c r="BP59" s="303"/>
      <c r="BQ59" s="303"/>
      <c r="BR59" s="303"/>
      <c r="BS59" s="303"/>
      <c r="BT59" s="303"/>
      <c r="BU59" s="303"/>
      <c r="BV59" s="303"/>
      <c r="BW59" s="303"/>
      <c r="BX59" s="303"/>
      <c r="BY59" s="303"/>
      <c r="BZ59" s="303"/>
      <c r="CA59" s="303"/>
      <c r="CB59" s="303"/>
      <c r="CC59" s="303"/>
      <c r="CD59" s="303"/>
      <c r="CE59" s="303"/>
      <c r="CF59" s="303"/>
      <c r="CG59" s="303"/>
      <c r="CH59" s="303"/>
      <c r="CI59" s="303"/>
      <c r="CJ59" s="303"/>
      <c r="CK59" s="303"/>
      <c r="CL59" s="303"/>
      <c r="CM59" s="303"/>
      <c r="CN59" s="303"/>
      <c r="CO59" s="303"/>
      <c r="CP59" s="303"/>
      <c r="CQ59" s="303"/>
      <c r="CR59" s="303"/>
      <c r="CS59" s="303"/>
      <c r="CT59" s="303"/>
      <c r="CU59" s="303"/>
      <c r="CV59" s="303"/>
      <c r="CW59" s="303"/>
      <c r="CX59" s="303"/>
      <c r="CY59" s="303"/>
      <c r="CZ59" s="303"/>
      <c r="DA59" s="303"/>
      <c r="DB59" s="303"/>
      <c r="DC59" s="303"/>
      <c r="DD59" s="303"/>
      <c r="DE59" s="303"/>
      <c r="DF59" s="303"/>
      <c r="DG59" s="303"/>
      <c r="DH59" s="303"/>
      <c r="DI59" s="303"/>
      <c r="DJ59" s="303"/>
      <c r="DK59" s="303"/>
      <c r="DL59" s="303"/>
      <c r="DM59" s="303"/>
      <c r="DN59" s="303"/>
      <c r="DO59" s="303"/>
      <c r="DP59" s="303"/>
      <c r="DQ59" s="303"/>
      <c r="DR59" s="303"/>
      <c r="DS59" s="303"/>
      <c r="DT59" s="303"/>
      <c r="DU59" s="303"/>
      <c r="DV59" s="303"/>
      <c r="DW59" s="303"/>
      <c r="DX59" s="303"/>
      <c r="DY59" s="303"/>
      <c r="DZ59" s="303"/>
      <c r="EA59" s="303"/>
      <c r="EB59" s="303"/>
      <c r="EC59" s="303"/>
      <c r="ED59" s="303"/>
      <c r="EE59" s="303"/>
      <c r="EF59" s="303"/>
      <c r="EG59" s="303"/>
      <c r="EH59" s="303"/>
      <c r="EI59" s="303"/>
      <c r="EJ59" s="303"/>
      <c r="EK59" s="303"/>
      <c r="EL59" s="303"/>
      <c r="EM59" s="303"/>
      <c r="EN59" s="303"/>
      <c r="EO59" s="303"/>
      <c r="EP59" s="303"/>
      <c r="EQ59" s="303"/>
      <c r="ER59" s="303"/>
      <c r="ES59" s="303"/>
      <c r="ET59" s="303"/>
      <c r="EU59" s="303"/>
      <c r="EV59" s="303"/>
      <c r="EW59" s="303"/>
      <c r="EX59" s="303"/>
      <c r="EY59" s="303"/>
      <c r="EZ59" s="303"/>
      <c r="FA59" s="303"/>
      <c r="FB59" s="303"/>
      <c r="FC59" s="303"/>
      <c r="FD59" s="303"/>
      <c r="FE59" s="303"/>
      <c r="FF59" s="303"/>
      <c r="FG59" s="303"/>
      <c r="FH59" s="303"/>
      <c r="FI59" s="303"/>
      <c r="FJ59" s="303"/>
      <c r="FK59" s="303"/>
      <c r="FL59" s="303"/>
      <c r="FM59" s="303"/>
      <c r="FN59" s="303"/>
      <c r="FO59" s="303"/>
      <c r="FP59" s="303"/>
      <c r="FQ59" s="303"/>
      <c r="FR59" s="303"/>
      <c r="FS59" s="303"/>
      <c r="FT59" s="303"/>
      <c r="FU59" s="303"/>
      <c r="FV59" s="303"/>
      <c r="FW59" s="303"/>
      <c r="FX59" s="303"/>
      <c r="FY59" s="303"/>
      <c r="FZ59" s="303"/>
      <c r="GA59" s="303"/>
      <c r="GB59" s="303"/>
      <c r="GC59" s="303"/>
      <c r="GD59" s="303"/>
      <c r="GE59" s="303"/>
      <c r="GF59" s="303"/>
      <c r="GG59" s="303"/>
      <c r="GH59" s="303"/>
      <c r="GI59" s="303"/>
      <c r="GJ59" s="303"/>
      <c r="GK59" s="303"/>
      <c r="GL59" s="303"/>
      <c r="GM59" s="303"/>
      <c r="GN59" s="303"/>
      <c r="GO59" s="303"/>
      <c r="GP59" s="303"/>
      <c r="GQ59" s="303"/>
      <c r="GR59" s="303"/>
      <c r="GS59" s="303"/>
      <c r="GT59" s="303"/>
      <c r="GU59" s="303"/>
      <c r="GV59" s="303"/>
      <c r="GW59" s="303"/>
      <c r="GX59" s="303"/>
      <c r="GY59" s="303"/>
    </row>
    <row r="60" spans="1:207" s="639" customFormat="1">
      <c r="A60" s="368" t="s">
        <v>923</v>
      </c>
      <c r="B60" s="701" t="s">
        <v>741</v>
      </c>
      <c r="C60" s="633"/>
      <c r="D60" s="19"/>
      <c r="E60" s="19">
        <v>19234</v>
      </c>
      <c r="F60" s="19"/>
      <c r="G60" s="19"/>
      <c r="H60" s="19"/>
      <c r="I60" s="1361"/>
      <c r="J60" s="634"/>
      <c r="K60" s="635"/>
      <c r="L60" s="1382"/>
      <c r="M60" s="634"/>
      <c r="N60" s="635"/>
      <c r="O60" s="636"/>
      <c r="P60" s="1437"/>
      <c r="Q60" s="1437"/>
      <c r="R60" s="1437"/>
      <c r="S60" s="1437"/>
      <c r="T60" s="1437"/>
      <c r="U60" s="1437"/>
      <c r="V60" s="1437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303"/>
      <c r="BD60" s="303"/>
      <c r="BE60" s="303"/>
      <c r="BF60" s="303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303"/>
      <c r="CS60" s="303"/>
      <c r="CT60" s="303"/>
      <c r="CU60" s="303"/>
      <c r="CV60" s="303"/>
      <c r="CW60" s="303"/>
      <c r="CX60" s="303"/>
      <c r="CY60" s="303"/>
      <c r="CZ60" s="303"/>
      <c r="DA60" s="303"/>
      <c r="DB60" s="303"/>
      <c r="DC60" s="303"/>
      <c r="DD60" s="303"/>
      <c r="DE60" s="303"/>
      <c r="DF60" s="303"/>
      <c r="DG60" s="303"/>
      <c r="DH60" s="303"/>
      <c r="DI60" s="303"/>
      <c r="DJ60" s="303"/>
      <c r="DK60" s="303"/>
      <c r="DL60" s="303"/>
      <c r="DM60" s="303"/>
      <c r="DN60" s="303"/>
      <c r="DO60" s="303"/>
      <c r="DP60" s="303"/>
      <c r="DQ60" s="303"/>
      <c r="DR60" s="303"/>
      <c r="DS60" s="303"/>
      <c r="DT60" s="303"/>
      <c r="DU60" s="303"/>
      <c r="DV60" s="303"/>
      <c r="DW60" s="303"/>
      <c r="DX60" s="303"/>
      <c r="DY60" s="303"/>
      <c r="DZ60" s="303"/>
      <c r="EA60" s="303"/>
      <c r="EB60" s="303"/>
      <c r="EC60" s="303"/>
      <c r="ED60" s="303"/>
      <c r="EE60" s="303"/>
      <c r="EF60" s="303"/>
      <c r="EG60" s="303"/>
      <c r="EH60" s="303"/>
      <c r="EI60" s="303"/>
      <c r="EJ60" s="303"/>
      <c r="EK60" s="303"/>
      <c r="EL60" s="303"/>
      <c r="EM60" s="303"/>
      <c r="EN60" s="303"/>
      <c r="EO60" s="303"/>
      <c r="EP60" s="303"/>
      <c r="EQ60" s="303"/>
      <c r="ER60" s="303"/>
      <c r="ES60" s="303"/>
      <c r="ET60" s="303"/>
      <c r="EU60" s="303"/>
      <c r="EV60" s="303"/>
      <c r="EW60" s="303"/>
      <c r="EX60" s="303"/>
      <c r="EY60" s="303"/>
      <c r="EZ60" s="303"/>
      <c r="FA60" s="303"/>
      <c r="FB60" s="303"/>
      <c r="FC60" s="303"/>
      <c r="FD60" s="303"/>
      <c r="FE60" s="303"/>
      <c r="FF60" s="303"/>
      <c r="FG60" s="303"/>
      <c r="FH60" s="303"/>
      <c r="FI60" s="303"/>
      <c r="FJ60" s="303"/>
      <c r="FK60" s="303"/>
      <c r="FL60" s="303"/>
      <c r="FM60" s="303"/>
      <c r="FN60" s="303"/>
      <c r="FO60" s="303"/>
      <c r="FP60" s="303"/>
      <c r="FQ60" s="303"/>
      <c r="FR60" s="303"/>
      <c r="FS60" s="303"/>
      <c r="FT60" s="303"/>
      <c r="FU60" s="303"/>
      <c r="FV60" s="303"/>
      <c r="FW60" s="303"/>
      <c r="FX60" s="303"/>
      <c r="FY60" s="303"/>
      <c r="FZ60" s="303"/>
      <c r="GA60" s="303"/>
      <c r="GB60" s="303"/>
      <c r="GC60" s="303"/>
      <c r="GD60" s="303"/>
      <c r="GE60" s="303"/>
      <c r="GF60" s="303"/>
      <c r="GG60" s="303"/>
      <c r="GH60" s="303"/>
      <c r="GI60" s="303"/>
      <c r="GJ60" s="303"/>
      <c r="GK60" s="303"/>
      <c r="GL60" s="303"/>
      <c r="GM60" s="303"/>
      <c r="GN60" s="303"/>
      <c r="GO60" s="303"/>
      <c r="GP60" s="303"/>
      <c r="GQ60" s="303"/>
      <c r="GR60" s="303"/>
      <c r="GS60" s="303"/>
      <c r="GT60" s="303"/>
      <c r="GU60" s="303"/>
      <c r="GV60" s="303"/>
      <c r="GW60" s="303"/>
      <c r="GX60" s="303"/>
      <c r="GY60" s="303"/>
    </row>
    <row r="61" spans="1:207" s="639" customFormat="1">
      <c r="A61" s="368" t="s">
        <v>924</v>
      </c>
      <c r="B61" s="721" t="s">
        <v>956</v>
      </c>
      <c r="C61" s="633"/>
      <c r="D61" s="681"/>
      <c r="E61" s="19"/>
      <c r="F61" s="19"/>
      <c r="G61" s="19">
        <v>6042</v>
      </c>
      <c r="H61" s="19"/>
      <c r="I61" s="1361"/>
      <c r="J61" s="634"/>
      <c r="K61" s="635"/>
      <c r="L61" s="1382"/>
      <c r="M61" s="634"/>
      <c r="N61" s="635"/>
      <c r="O61" s="636"/>
      <c r="P61" s="1437"/>
      <c r="Q61" s="1437"/>
      <c r="R61" s="1437"/>
      <c r="S61" s="1437"/>
      <c r="T61" s="1437"/>
      <c r="U61" s="1437"/>
      <c r="V61" s="1437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303"/>
      <c r="BD61" s="303"/>
      <c r="BE61" s="303"/>
      <c r="BF61" s="303"/>
      <c r="BG61" s="303"/>
      <c r="BH61" s="303"/>
      <c r="BI61" s="303"/>
      <c r="BJ61" s="303"/>
      <c r="BK61" s="303"/>
      <c r="BL61" s="303"/>
      <c r="BM61" s="303"/>
      <c r="BN61" s="303"/>
      <c r="BO61" s="303"/>
      <c r="BP61" s="303"/>
      <c r="BQ61" s="303"/>
      <c r="BR61" s="303"/>
      <c r="BS61" s="303"/>
      <c r="BT61" s="303"/>
      <c r="BU61" s="303"/>
      <c r="BV61" s="303"/>
      <c r="BW61" s="303"/>
      <c r="BX61" s="303"/>
      <c r="BY61" s="303"/>
      <c r="BZ61" s="303"/>
      <c r="CA61" s="303"/>
      <c r="CB61" s="303"/>
      <c r="CC61" s="303"/>
      <c r="CD61" s="303"/>
      <c r="CE61" s="303"/>
      <c r="CF61" s="303"/>
      <c r="CG61" s="303"/>
      <c r="CH61" s="303"/>
      <c r="CI61" s="303"/>
      <c r="CJ61" s="303"/>
      <c r="CK61" s="303"/>
      <c r="CL61" s="303"/>
      <c r="CM61" s="303"/>
      <c r="CN61" s="303"/>
      <c r="CO61" s="303"/>
      <c r="CP61" s="303"/>
      <c r="CQ61" s="303"/>
      <c r="CR61" s="303"/>
      <c r="CS61" s="303"/>
      <c r="CT61" s="303"/>
      <c r="CU61" s="303"/>
      <c r="CV61" s="303"/>
      <c r="CW61" s="303"/>
      <c r="CX61" s="303"/>
      <c r="CY61" s="303"/>
      <c r="CZ61" s="303"/>
      <c r="DA61" s="303"/>
      <c r="DB61" s="303"/>
      <c r="DC61" s="303"/>
      <c r="DD61" s="303"/>
      <c r="DE61" s="303"/>
      <c r="DF61" s="303"/>
      <c r="DG61" s="303"/>
      <c r="DH61" s="303"/>
      <c r="DI61" s="303"/>
      <c r="DJ61" s="303"/>
      <c r="DK61" s="303"/>
      <c r="DL61" s="303"/>
      <c r="DM61" s="303"/>
      <c r="DN61" s="303"/>
      <c r="DO61" s="303"/>
      <c r="DP61" s="303"/>
      <c r="DQ61" s="303"/>
      <c r="DR61" s="303"/>
      <c r="DS61" s="303"/>
      <c r="DT61" s="303"/>
      <c r="DU61" s="303"/>
      <c r="DV61" s="303"/>
      <c r="DW61" s="303"/>
      <c r="DX61" s="303"/>
      <c r="DY61" s="303"/>
      <c r="DZ61" s="303"/>
      <c r="EA61" s="303"/>
      <c r="EB61" s="303"/>
      <c r="EC61" s="303"/>
      <c r="ED61" s="303"/>
      <c r="EE61" s="303"/>
      <c r="EF61" s="303"/>
      <c r="EG61" s="303"/>
      <c r="EH61" s="303"/>
      <c r="EI61" s="303"/>
      <c r="EJ61" s="303"/>
      <c r="EK61" s="303"/>
      <c r="EL61" s="303"/>
      <c r="EM61" s="303"/>
      <c r="EN61" s="303"/>
      <c r="EO61" s="303"/>
      <c r="EP61" s="303"/>
      <c r="EQ61" s="303"/>
      <c r="ER61" s="303"/>
      <c r="ES61" s="303"/>
      <c r="ET61" s="303"/>
      <c r="EU61" s="303"/>
      <c r="EV61" s="303"/>
      <c r="EW61" s="303"/>
      <c r="EX61" s="303"/>
      <c r="EY61" s="303"/>
      <c r="EZ61" s="303"/>
      <c r="FA61" s="303"/>
      <c r="FB61" s="303"/>
      <c r="FC61" s="303"/>
      <c r="FD61" s="303"/>
      <c r="FE61" s="303"/>
      <c r="FF61" s="303"/>
      <c r="FG61" s="303"/>
      <c r="FH61" s="303"/>
      <c r="FI61" s="303"/>
      <c r="FJ61" s="303"/>
      <c r="FK61" s="303"/>
      <c r="FL61" s="303"/>
      <c r="FM61" s="303"/>
      <c r="FN61" s="303"/>
      <c r="FO61" s="303"/>
      <c r="FP61" s="303"/>
      <c r="FQ61" s="303"/>
      <c r="FR61" s="303"/>
      <c r="FS61" s="303"/>
      <c r="FT61" s="303"/>
      <c r="FU61" s="303"/>
      <c r="FV61" s="303"/>
      <c r="FW61" s="303"/>
      <c r="FX61" s="303"/>
      <c r="FY61" s="303"/>
      <c r="FZ61" s="303"/>
      <c r="GA61" s="303"/>
      <c r="GB61" s="303"/>
      <c r="GC61" s="303"/>
      <c r="GD61" s="303"/>
      <c r="GE61" s="303"/>
      <c r="GF61" s="303"/>
      <c r="GG61" s="303"/>
      <c r="GH61" s="303"/>
      <c r="GI61" s="303"/>
      <c r="GJ61" s="303"/>
      <c r="GK61" s="303"/>
      <c r="GL61" s="303"/>
      <c r="GM61" s="303"/>
      <c r="GN61" s="303"/>
      <c r="GO61" s="303"/>
      <c r="GP61" s="303"/>
      <c r="GQ61" s="303"/>
      <c r="GR61" s="303"/>
      <c r="GS61" s="303"/>
      <c r="GT61" s="303"/>
      <c r="GU61" s="303"/>
      <c r="GV61" s="303"/>
      <c r="GW61" s="303"/>
      <c r="GX61" s="303"/>
      <c r="GY61" s="303"/>
    </row>
    <row r="62" spans="1:207" s="639" customFormat="1">
      <c r="A62" s="368" t="s">
        <v>925</v>
      </c>
      <c r="B62" s="721" t="s">
        <v>961</v>
      </c>
      <c r="C62" s="633"/>
      <c r="D62" s="681"/>
      <c r="E62" s="19"/>
      <c r="F62" s="19"/>
      <c r="G62" s="19">
        <f>10000+(80920-2380+2380)-1</f>
        <v>90919</v>
      </c>
      <c r="H62" s="19"/>
      <c r="I62" s="1361"/>
      <c r="J62" s="634"/>
      <c r="K62" s="635"/>
      <c r="L62" s="1382"/>
      <c r="M62" s="634"/>
      <c r="N62" s="635"/>
      <c r="O62" s="636"/>
      <c r="P62" s="1437"/>
      <c r="Q62" s="1437"/>
      <c r="R62" s="1437"/>
      <c r="S62" s="1437"/>
      <c r="T62" s="1437"/>
      <c r="U62" s="1437"/>
      <c r="V62" s="1437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3"/>
      <c r="BC62" s="303"/>
      <c r="BD62" s="303"/>
      <c r="BE62" s="303"/>
      <c r="BF62" s="303"/>
      <c r="BG62" s="303"/>
      <c r="BH62" s="303"/>
      <c r="BI62" s="303"/>
      <c r="BJ62" s="303"/>
      <c r="BK62" s="303"/>
      <c r="BL62" s="303"/>
      <c r="BM62" s="303"/>
      <c r="BN62" s="303"/>
      <c r="BO62" s="303"/>
      <c r="BP62" s="303"/>
      <c r="BQ62" s="303"/>
      <c r="BR62" s="303"/>
      <c r="BS62" s="303"/>
      <c r="BT62" s="303"/>
      <c r="BU62" s="303"/>
      <c r="BV62" s="303"/>
      <c r="BW62" s="303"/>
      <c r="BX62" s="303"/>
      <c r="BY62" s="303"/>
      <c r="BZ62" s="303"/>
      <c r="CA62" s="303"/>
      <c r="CB62" s="303"/>
      <c r="CC62" s="303"/>
      <c r="CD62" s="303"/>
      <c r="CE62" s="303"/>
      <c r="CF62" s="303"/>
      <c r="CG62" s="303"/>
      <c r="CH62" s="303"/>
      <c r="CI62" s="303"/>
      <c r="CJ62" s="303"/>
      <c r="CK62" s="303"/>
      <c r="CL62" s="303"/>
      <c r="CM62" s="303"/>
      <c r="CN62" s="303"/>
      <c r="CO62" s="303"/>
      <c r="CP62" s="303"/>
      <c r="CQ62" s="303"/>
      <c r="CR62" s="303"/>
      <c r="CS62" s="303"/>
      <c r="CT62" s="303"/>
      <c r="CU62" s="303"/>
      <c r="CV62" s="303"/>
      <c r="CW62" s="303"/>
      <c r="CX62" s="303"/>
      <c r="CY62" s="303"/>
      <c r="CZ62" s="303"/>
      <c r="DA62" s="303"/>
      <c r="DB62" s="303"/>
      <c r="DC62" s="303"/>
      <c r="DD62" s="303"/>
      <c r="DE62" s="303"/>
      <c r="DF62" s="303"/>
      <c r="DG62" s="303"/>
      <c r="DH62" s="303"/>
      <c r="DI62" s="303"/>
      <c r="DJ62" s="303"/>
      <c r="DK62" s="303"/>
      <c r="DL62" s="303"/>
      <c r="DM62" s="303"/>
      <c r="DN62" s="303"/>
      <c r="DO62" s="303"/>
      <c r="DP62" s="303"/>
      <c r="DQ62" s="303"/>
      <c r="DR62" s="303"/>
      <c r="DS62" s="303"/>
      <c r="DT62" s="303"/>
      <c r="DU62" s="303"/>
      <c r="DV62" s="303"/>
      <c r="DW62" s="303"/>
      <c r="DX62" s="303"/>
      <c r="DY62" s="303"/>
      <c r="DZ62" s="303"/>
      <c r="EA62" s="303"/>
      <c r="EB62" s="303"/>
      <c r="EC62" s="303"/>
      <c r="ED62" s="303"/>
      <c r="EE62" s="303"/>
      <c r="EF62" s="303"/>
      <c r="EG62" s="303"/>
      <c r="EH62" s="303"/>
      <c r="EI62" s="303"/>
      <c r="EJ62" s="303"/>
      <c r="EK62" s="303"/>
      <c r="EL62" s="303"/>
      <c r="EM62" s="303"/>
      <c r="EN62" s="303"/>
      <c r="EO62" s="303"/>
      <c r="EP62" s="303"/>
      <c r="EQ62" s="303"/>
      <c r="ER62" s="303"/>
      <c r="ES62" s="303"/>
      <c r="ET62" s="303"/>
      <c r="EU62" s="303"/>
      <c r="EV62" s="303"/>
      <c r="EW62" s="303"/>
      <c r="EX62" s="303"/>
      <c r="EY62" s="303"/>
      <c r="EZ62" s="303"/>
      <c r="FA62" s="303"/>
      <c r="FB62" s="303"/>
      <c r="FC62" s="303"/>
      <c r="FD62" s="303"/>
      <c r="FE62" s="303"/>
      <c r="FF62" s="303"/>
      <c r="FG62" s="303"/>
      <c r="FH62" s="303"/>
      <c r="FI62" s="303"/>
      <c r="FJ62" s="303"/>
      <c r="FK62" s="303"/>
      <c r="FL62" s="303"/>
      <c r="FM62" s="303"/>
      <c r="FN62" s="303"/>
      <c r="FO62" s="303"/>
      <c r="FP62" s="303"/>
      <c r="FQ62" s="303"/>
      <c r="FR62" s="303"/>
      <c r="FS62" s="303"/>
      <c r="FT62" s="303"/>
      <c r="FU62" s="303"/>
      <c r="FV62" s="303"/>
      <c r="FW62" s="303"/>
      <c r="FX62" s="303"/>
      <c r="FY62" s="303"/>
      <c r="FZ62" s="303"/>
      <c r="GA62" s="303"/>
      <c r="GB62" s="303"/>
      <c r="GC62" s="303"/>
      <c r="GD62" s="303"/>
      <c r="GE62" s="303"/>
      <c r="GF62" s="303"/>
      <c r="GG62" s="303"/>
      <c r="GH62" s="303"/>
      <c r="GI62" s="303"/>
      <c r="GJ62" s="303"/>
      <c r="GK62" s="303"/>
      <c r="GL62" s="303"/>
      <c r="GM62" s="303"/>
      <c r="GN62" s="303"/>
      <c r="GO62" s="303"/>
      <c r="GP62" s="303"/>
      <c r="GQ62" s="303"/>
      <c r="GR62" s="303"/>
      <c r="GS62" s="303"/>
      <c r="GT62" s="303"/>
      <c r="GU62" s="303"/>
      <c r="GV62" s="303"/>
      <c r="GW62" s="303"/>
      <c r="GX62" s="303"/>
      <c r="GY62" s="303"/>
    </row>
    <row r="63" spans="1:207" s="639" customFormat="1">
      <c r="A63" s="368" t="s">
        <v>926</v>
      </c>
      <c r="B63" s="721" t="s">
        <v>962</v>
      </c>
      <c r="C63" s="633"/>
      <c r="D63" s="681"/>
      <c r="E63" s="19"/>
      <c r="F63" s="19"/>
      <c r="G63" s="19">
        <v>27330</v>
      </c>
      <c r="H63" s="19"/>
      <c r="I63" s="1361"/>
      <c r="J63" s="634"/>
      <c r="K63" s="635"/>
      <c r="L63" s="1382"/>
      <c r="M63" s="634"/>
      <c r="N63" s="635"/>
      <c r="O63" s="636"/>
      <c r="P63" s="1437"/>
      <c r="Q63" s="1437"/>
      <c r="R63" s="1437"/>
      <c r="S63" s="1437"/>
      <c r="T63" s="1437"/>
      <c r="U63" s="1437"/>
      <c r="V63" s="1437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303"/>
      <c r="BD63" s="303"/>
      <c r="BE63" s="303"/>
      <c r="BF63" s="303"/>
      <c r="BG63" s="303"/>
      <c r="BH63" s="303"/>
      <c r="BI63" s="303"/>
      <c r="BJ63" s="303"/>
      <c r="BK63" s="303"/>
      <c r="BL63" s="303"/>
      <c r="BM63" s="303"/>
      <c r="BN63" s="303"/>
      <c r="BO63" s="303"/>
      <c r="BP63" s="303"/>
      <c r="BQ63" s="303"/>
      <c r="BR63" s="303"/>
      <c r="BS63" s="303"/>
      <c r="BT63" s="303"/>
      <c r="BU63" s="303"/>
      <c r="BV63" s="303"/>
      <c r="BW63" s="303"/>
      <c r="BX63" s="303"/>
      <c r="BY63" s="303"/>
      <c r="BZ63" s="303"/>
      <c r="CA63" s="303"/>
      <c r="CB63" s="303"/>
      <c r="CC63" s="303"/>
      <c r="CD63" s="303"/>
      <c r="CE63" s="303"/>
      <c r="CF63" s="303"/>
      <c r="CG63" s="303"/>
      <c r="CH63" s="303"/>
      <c r="CI63" s="303"/>
      <c r="CJ63" s="303"/>
      <c r="CK63" s="303"/>
      <c r="CL63" s="303"/>
      <c r="CM63" s="303"/>
      <c r="CN63" s="303"/>
      <c r="CO63" s="303"/>
      <c r="CP63" s="303"/>
      <c r="CQ63" s="303"/>
      <c r="CR63" s="303"/>
      <c r="CS63" s="303"/>
      <c r="CT63" s="303"/>
      <c r="CU63" s="303"/>
      <c r="CV63" s="303"/>
      <c r="CW63" s="303"/>
      <c r="CX63" s="303"/>
      <c r="CY63" s="303"/>
      <c r="CZ63" s="303"/>
      <c r="DA63" s="303"/>
      <c r="DB63" s="303"/>
      <c r="DC63" s="303"/>
      <c r="DD63" s="303"/>
      <c r="DE63" s="303"/>
      <c r="DF63" s="303"/>
      <c r="DG63" s="303"/>
      <c r="DH63" s="303"/>
      <c r="DI63" s="303"/>
      <c r="DJ63" s="303"/>
      <c r="DK63" s="303"/>
      <c r="DL63" s="303"/>
      <c r="DM63" s="303"/>
      <c r="DN63" s="303"/>
      <c r="DO63" s="303"/>
      <c r="DP63" s="303"/>
      <c r="DQ63" s="303"/>
      <c r="DR63" s="303"/>
      <c r="DS63" s="303"/>
      <c r="DT63" s="303"/>
      <c r="DU63" s="303"/>
      <c r="DV63" s="303"/>
      <c r="DW63" s="303"/>
      <c r="DX63" s="303"/>
      <c r="DY63" s="303"/>
      <c r="DZ63" s="303"/>
      <c r="EA63" s="303"/>
      <c r="EB63" s="303"/>
      <c r="EC63" s="303"/>
      <c r="ED63" s="303"/>
      <c r="EE63" s="303"/>
      <c r="EF63" s="303"/>
      <c r="EG63" s="303"/>
      <c r="EH63" s="303"/>
      <c r="EI63" s="303"/>
      <c r="EJ63" s="303"/>
      <c r="EK63" s="303"/>
      <c r="EL63" s="303"/>
      <c r="EM63" s="303"/>
      <c r="EN63" s="303"/>
      <c r="EO63" s="303"/>
      <c r="EP63" s="303"/>
      <c r="EQ63" s="303"/>
      <c r="ER63" s="303"/>
      <c r="ES63" s="303"/>
      <c r="ET63" s="303"/>
      <c r="EU63" s="303"/>
      <c r="EV63" s="303"/>
      <c r="EW63" s="303"/>
      <c r="EX63" s="303"/>
      <c r="EY63" s="303"/>
      <c r="EZ63" s="303"/>
      <c r="FA63" s="303"/>
      <c r="FB63" s="303"/>
      <c r="FC63" s="303"/>
      <c r="FD63" s="303"/>
      <c r="FE63" s="303"/>
      <c r="FF63" s="303"/>
      <c r="FG63" s="303"/>
      <c r="FH63" s="303"/>
      <c r="FI63" s="303"/>
      <c r="FJ63" s="303"/>
      <c r="FK63" s="303"/>
      <c r="FL63" s="303"/>
      <c r="FM63" s="303"/>
      <c r="FN63" s="303"/>
      <c r="FO63" s="303"/>
      <c r="FP63" s="303"/>
      <c r="FQ63" s="303"/>
      <c r="FR63" s="303"/>
      <c r="FS63" s="303"/>
      <c r="FT63" s="303"/>
      <c r="FU63" s="303"/>
      <c r="FV63" s="303"/>
      <c r="FW63" s="303"/>
      <c r="FX63" s="303"/>
      <c r="FY63" s="303"/>
      <c r="FZ63" s="303"/>
      <c r="GA63" s="303"/>
      <c r="GB63" s="303"/>
      <c r="GC63" s="303"/>
      <c r="GD63" s="303"/>
      <c r="GE63" s="303"/>
      <c r="GF63" s="303"/>
      <c r="GG63" s="303"/>
      <c r="GH63" s="303"/>
      <c r="GI63" s="303"/>
      <c r="GJ63" s="303"/>
      <c r="GK63" s="303"/>
      <c r="GL63" s="303"/>
      <c r="GM63" s="303"/>
      <c r="GN63" s="303"/>
      <c r="GO63" s="303"/>
      <c r="GP63" s="303"/>
      <c r="GQ63" s="303"/>
      <c r="GR63" s="303"/>
      <c r="GS63" s="303"/>
      <c r="GT63" s="303"/>
      <c r="GU63" s="303"/>
      <c r="GV63" s="303"/>
      <c r="GW63" s="303"/>
      <c r="GX63" s="303"/>
      <c r="GY63" s="303"/>
    </row>
    <row r="64" spans="1:207" s="639" customFormat="1">
      <c r="A64" s="368" t="s">
        <v>963</v>
      </c>
      <c r="B64" s="701" t="s">
        <v>960</v>
      </c>
      <c r="C64" s="633"/>
      <c r="D64" s="681"/>
      <c r="E64" s="19"/>
      <c r="F64" s="19"/>
      <c r="G64" s="19">
        <v>3536.02</v>
      </c>
      <c r="H64" s="19"/>
      <c r="I64" s="1361"/>
      <c r="J64" s="634"/>
      <c r="K64" s="635"/>
      <c r="L64" s="1382"/>
      <c r="M64" s="634"/>
      <c r="N64" s="635"/>
      <c r="O64" s="636"/>
      <c r="P64" s="1437"/>
      <c r="Q64" s="1437"/>
      <c r="R64" s="1437"/>
      <c r="S64" s="1437"/>
      <c r="T64" s="1437"/>
      <c r="U64" s="1437"/>
      <c r="V64" s="1437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03"/>
      <c r="BE64" s="303"/>
      <c r="BF64" s="303"/>
      <c r="BG64" s="303"/>
      <c r="BH64" s="303"/>
      <c r="BI64" s="303"/>
      <c r="BJ64" s="303"/>
      <c r="BK64" s="303"/>
      <c r="BL64" s="303"/>
      <c r="BM64" s="303"/>
      <c r="BN64" s="303"/>
      <c r="BO64" s="303"/>
      <c r="BP64" s="303"/>
      <c r="BQ64" s="303"/>
      <c r="BR64" s="303"/>
      <c r="BS64" s="303"/>
      <c r="BT64" s="303"/>
      <c r="BU64" s="303"/>
      <c r="BV64" s="303"/>
      <c r="BW64" s="303"/>
      <c r="BX64" s="303"/>
      <c r="BY64" s="303"/>
      <c r="BZ64" s="303"/>
      <c r="CA64" s="303"/>
      <c r="CB64" s="303"/>
      <c r="CC64" s="303"/>
      <c r="CD64" s="303"/>
      <c r="CE64" s="303"/>
      <c r="CF64" s="303"/>
      <c r="CG64" s="303"/>
      <c r="CH64" s="303"/>
      <c r="CI64" s="303"/>
      <c r="CJ64" s="303"/>
      <c r="CK64" s="303"/>
      <c r="CL64" s="303"/>
      <c r="CM64" s="303"/>
      <c r="CN64" s="303"/>
      <c r="CO64" s="303"/>
      <c r="CP64" s="303"/>
      <c r="CQ64" s="303"/>
      <c r="CR64" s="303"/>
      <c r="CS64" s="303"/>
      <c r="CT64" s="303"/>
      <c r="CU64" s="303"/>
      <c r="CV64" s="303"/>
      <c r="CW64" s="303"/>
      <c r="CX64" s="303"/>
      <c r="CY64" s="303"/>
      <c r="CZ64" s="303"/>
      <c r="DA64" s="303"/>
      <c r="DB64" s="303"/>
      <c r="DC64" s="303"/>
      <c r="DD64" s="303"/>
      <c r="DE64" s="303"/>
      <c r="DF64" s="303"/>
      <c r="DG64" s="303"/>
      <c r="DH64" s="303"/>
      <c r="DI64" s="303"/>
      <c r="DJ64" s="303"/>
      <c r="DK64" s="303"/>
      <c r="DL64" s="303"/>
      <c r="DM64" s="303"/>
      <c r="DN64" s="303"/>
      <c r="DO64" s="303"/>
      <c r="DP64" s="303"/>
      <c r="DQ64" s="303"/>
      <c r="DR64" s="303"/>
      <c r="DS64" s="303"/>
      <c r="DT64" s="303"/>
      <c r="DU64" s="303"/>
      <c r="DV64" s="303"/>
      <c r="DW64" s="303"/>
      <c r="DX64" s="303"/>
      <c r="DY64" s="303"/>
      <c r="DZ64" s="303"/>
      <c r="EA64" s="303"/>
      <c r="EB64" s="303"/>
      <c r="EC64" s="303"/>
      <c r="ED64" s="303"/>
      <c r="EE64" s="303"/>
      <c r="EF64" s="303"/>
      <c r="EG64" s="303"/>
      <c r="EH64" s="303"/>
      <c r="EI64" s="303"/>
      <c r="EJ64" s="303"/>
      <c r="EK64" s="303"/>
      <c r="EL64" s="303"/>
      <c r="EM64" s="303"/>
      <c r="EN64" s="303"/>
      <c r="EO64" s="303"/>
      <c r="EP64" s="303"/>
      <c r="EQ64" s="303"/>
      <c r="ER64" s="303"/>
      <c r="ES64" s="303"/>
      <c r="ET64" s="303"/>
      <c r="EU64" s="303"/>
      <c r="EV64" s="303"/>
      <c r="EW64" s="303"/>
      <c r="EX64" s="303"/>
      <c r="EY64" s="303"/>
      <c r="EZ64" s="303"/>
      <c r="FA64" s="303"/>
      <c r="FB64" s="303"/>
      <c r="FC64" s="303"/>
      <c r="FD64" s="303"/>
      <c r="FE64" s="303"/>
      <c r="FF64" s="303"/>
      <c r="FG64" s="303"/>
      <c r="FH64" s="303"/>
      <c r="FI64" s="303"/>
      <c r="FJ64" s="303"/>
      <c r="FK64" s="303"/>
      <c r="FL64" s="303"/>
      <c r="FM64" s="303"/>
      <c r="FN64" s="303"/>
      <c r="FO64" s="303"/>
      <c r="FP64" s="303"/>
      <c r="FQ64" s="303"/>
      <c r="FR64" s="303"/>
      <c r="FS64" s="303"/>
      <c r="FT64" s="303"/>
      <c r="FU64" s="303"/>
      <c r="FV64" s="303"/>
      <c r="FW64" s="303"/>
      <c r="FX64" s="303"/>
      <c r="FY64" s="303"/>
      <c r="FZ64" s="303"/>
      <c r="GA64" s="303"/>
      <c r="GB64" s="303"/>
      <c r="GC64" s="303"/>
      <c r="GD64" s="303"/>
      <c r="GE64" s="303"/>
      <c r="GF64" s="303"/>
      <c r="GG64" s="303"/>
      <c r="GH64" s="303"/>
      <c r="GI64" s="303"/>
      <c r="GJ64" s="303"/>
      <c r="GK64" s="303"/>
      <c r="GL64" s="303"/>
      <c r="GM64" s="303"/>
      <c r="GN64" s="303"/>
      <c r="GO64" s="303"/>
      <c r="GP64" s="303"/>
      <c r="GQ64" s="303"/>
      <c r="GR64" s="303"/>
      <c r="GS64" s="303"/>
      <c r="GT64" s="303"/>
      <c r="GU64" s="303"/>
      <c r="GV64" s="303"/>
      <c r="GW64" s="303"/>
      <c r="GX64" s="303"/>
      <c r="GY64" s="303"/>
    </row>
    <row r="65" spans="1:207" s="639" customFormat="1">
      <c r="A65" s="368" t="s">
        <v>964</v>
      </c>
      <c r="B65" s="701" t="s">
        <v>1013</v>
      </c>
      <c r="C65" s="633"/>
      <c r="D65" s="681"/>
      <c r="E65" s="19"/>
      <c r="F65" s="19"/>
      <c r="G65" s="19"/>
      <c r="H65" s="19"/>
      <c r="I65" s="1361">
        <v>307843.70181108825</v>
      </c>
      <c r="J65" s="852"/>
      <c r="K65" s="827"/>
      <c r="L65" s="1384"/>
      <c r="M65" s="852">
        <v>40</v>
      </c>
      <c r="N65" s="827">
        <f t="shared" ref="N65:N75" si="8">100/M65</f>
        <v>2.5</v>
      </c>
      <c r="O65" s="828">
        <f t="shared" ref="O65:O75" si="9">I65*N65/100</f>
        <v>7696.0925452772062</v>
      </c>
      <c r="P65" s="1437"/>
      <c r="Q65" s="1437"/>
      <c r="R65" s="1437"/>
      <c r="S65" s="1437"/>
      <c r="T65" s="1437"/>
      <c r="U65" s="1437"/>
      <c r="V65" s="1437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3"/>
      <c r="BE65" s="303"/>
      <c r="BF65" s="303"/>
      <c r="BG65" s="303"/>
      <c r="BH65" s="303"/>
      <c r="BI65" s="303"/>
      <c r="BJ65" s="303"/>
      <c r="BK65" s="303"/>
      <c r="BL65" s="303"/>
      <c r="BM65" s="303"/>
      <c r="BN65" s="303"/>
      <c r="BO65" s="303"/>
      <c r="BP65" s="303"/>
      <c r="BQ65" s="303"/>
      <c r="BR65" s="303"/>
      <c r="BS65" s="303"/>
      <c r="BT65" s="303"/>
      <c r="BU65" s="303"/>
      <c r="BV65" s="303"/>
      <c r="BW65" s="303"/>
      <c r="BX65" s="303"/>
      <c r="BY65" s="303"/>
      <c r="BZ65" s="303"/>
      <c r="CA65" s="303"/>
      <c r="CB65" s="303"/>
      <c r="CC65" s="303"/>
      <c r="CD65" s="303"/>
      <c r="CE65" s="303"/>
      <c r="CF65" s="303"/>
      <c r="CG65" s="303"/>
      <c r="CH65" s="303"/>
      <c r="CI65" s="303"/>
      <c r="CJ65" s="303"/>
      <c r="CK65" s="303"/>
      <c r="CL65" s="303"/>
      <c r="CM65" s="303"/>
      <c r="CN65" s="303"/>
      <c r="CO65" s="303"/>
      <c r="CP65" s="303"/>
      <c r="CQ65" s="303"/>
      <c r="CR65" s="303"/>
      <c r="CS65" s="303"/>
      <c r="CT65" s="303"/>
      <c r="CU65" s="303"/>
      <c r="CV65" s="303"/>
      <c r="CW65" s="303"/>
      <c r="CX65" s="303"/>
      <c r="CY65" s="303"/>
      <c r="CZ65" s="303"/>
      <c r="DA65" s="303"/>
      <c r="DB65" s="303"/>
      <c r="DC65" s="303"/>
      <c r="DD65" s="303"/>
      <c r="DE65" s="303"/>
      <c r="DF65" s="303"/>
      <c r="DG65" s="303"/>
      <c r="DH65" s="303"/>
      <c r="DI65" s="303"/>
      <c r="DJ65" s="303"/>
      <c r="DK65" s="303"/>
      <c r="DL65" s="303"/>
      <c r="DM65" s="303"/>
      <c r="DN65" s="303"/>
      <c r="DO65" s="303"/>
      <c r="DP65" s="303"/>
      <c r="DQ65" s="303"/>
      <c r="DR65" s="303"/>
      <c r="DS65" s="303"/>
      <c r="DT65" s="303"/>
      <c r="DU65" s="303"/>
      <c r="DV65" s="303"/>
      <c r="DW65" s="303"/>
      <c r="DX65" s="303"/>
      <c r="DY65" s="303"/>
      <c r="DZ65" s="303"/>
      <c r="EA65" s="303"/>
      <c r="EB65" s="303"/>
      <c r="EC65" s="303"/>
      <c r="ED65" s="303"/>
      <c r="EE65" s="303"/>
      <c r="EF65" s="303"/>
      <c r="EG65" s="303"/>
      <c r="EH65" s="303"/>
      <c r="EI65" s="303"/>
      <c r="EJ65" s="303"/>
      <c r="EK65" s="303"/>
      <c r="EL65" s="303"/>
      <c r="EM65" s="303"/>
      <c r="EN65" s="303"/>
      <c r="EO65" s="303"/>
      <c r="EP65" s="303"/>
      <c r="EQ65" s="303"/>
      <c r="ER65" s="303"/>
      <c r="ES65" s="303"/>
      <c r="ET65" s="303"/>
      <c r="EU65" s="303"/>
      <c r="EV65" s="303"/>
      <c r="EW65" s="303"/>
      <c r="EX65" s="303"/>
      <c r="EY65" s="303"/>
      <c r="EZ65" s="303"/>
      <c r="FA65" s="303"/>
      <c r="FB65" s="303"/>
      <c r="FC65" s="303"/>
      <c r="FD65" s="303"/>
      <c r="FE65" s="303"/>
      <c r="FF65" s="303"/>
      <c r="FG65" s="303"/>
      <c r="FH65" s="303"/>
      <c r="FI65" s="303"/>
      <c r="FJ65" s="303"/>
      <c r="FK65" s="303"/>
      <c r="FL65" s="303"/>
      <c r="FM65" s="303"/>
      <c r="FN65" s="303"/>
      <c r="FO65" s="303"/>
      <c r="FP65" s="303"/>
      <c r="FQ65" s="303"/>
      <c r="FR65" s="303"/>
      <c r="FS65" s="303"/>
      <c r="FT65" s="303"/>
      <c r="FU65" s="303"/>
      <c r="FV65" s="303"/>
      <c r="FW65" s="303"/>
      <c r="FX65" s="303"/>
      <c r="FY65" s="303"/>
      <c r="FZ65" s="303"/>
      <c r="GA65" s="303"/>
      <c r="GB65" s="303"/>
      <c r="GC65" s="303"/>
      <c r="GD65" s="303"/>
      <c r="GE65" s="303"/>
      <c r="GF65" s="303"/>
      <c r="GG65" s="303"/>
      <c r="GH65" s="303"/>
      <c r="GI65" s="303"/>
      <c r="GJ65" s="303"/>
      <c r="GK65" s="303"/>
      <c r="GL65" s="303"/>
      <c r="GM65" s="303"/>
      <c r="GN65" s="303"/>
      <c r="GO65" s="303"/>
      <c r="GP65" s="303"/>
      <c r="GQ65" s="303"/>
      <c r="GR65" s="303"/>
      <c r="GS65" s="303"/>
      <c r="GT65" s="303"/>
      <c r="GU65" s="303"/>
      <c r="GV65" s="303"/>
      <c r="GW65" s="303"/>
      <c r="GX65" s="303"/>
      <c r="GY65" s="303"/>
    </row>
    <row r="66" spans="1:207" s="639" customFormat="1">
      <c r="A66" s="368" t="s">
        <v>965</v>
      </c>
      <c r="B66" s="701" t="s">
        <v>1033</v>
      </c>
      <c r="C66" s="633"/>
      <c r="D66" s="681"/>
      <c r="E66" s="19"/>
      <c r="F66" s="19"/>
      <c r="G66" s="19"/>
      <c r="H66" s="19"/>
      <c r="I66" s="1361">
        <v>81735.572246639989</v>
      </c>
      <c r="J66" s="852"/>
      <c r="K66" s="827"/>
      <c r="L66" s="1384"/>
      <c r="M66" s="852">
        <v>15</v>
      </c>
      <c r="N66" s="827">
        <f t="shared" si="8"/>
        <v>6.666666666666667</v>
      </c>
      <c r="O66" s="828">
        <f t="shared" si="9"/>
        <v>5449.038149776</v>
      </c>
      <c r="P66" s="1437"/>
      <c r="Q66" s="1437"/>
      <c r="R66" s="1437"/>
      <c r="S66" s="1437"/>
      <c r="T66" s="1437"/>
      <c r="U66" s="1437"/>
      <c r="V66" s="1437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303"/>
      <c r="BE66" s="303"/>
      <c r="BF66" s="303"/>
      <c r="BG66" s="303"/>
      <c r="BH66" s="303"/>
      <c r="BI66" s="303"/>
      <c r="BJ66" s="303"/>
      <c r="BK66" s="303"/>
      <c r="BL66" s="303"/>
      <c r="BM66" s="303"/>
      <c r="BN66" s="303"/>
      <c r="BO66" s="303"/>
      <c r="BP66" s="303"/>
      <c r="BQ66" s="303"/>
      <c r="BR66" s="303"/>
      <c r="BS66" s="303"/>
      <c r="BT66" s="303"/>
      <c r="BU66" s="303"/>
      <c r="BV66" s="303"/>
      <c r="BW66" s="303"/>
      <c r="BX66" s="303"/>
      <c r="BY66" s="303"/>
      <c r="BZ66" s="303"/>
      <c r="CA66" s="303"/>
      <c r="CB66" s="303"/>
      <c r="CC66" s="303"/>
      <c r="CD66" s="303"/>
      <c r="CE66" s="303"/>
      <c r="CF66" s="303"/>
      <c r="CG66" s="303"/>
      <c r="CH66" s="303"/>
      <c r="CI66" s="303"/>
      <c r="CJ66" s="303"/>
      <c r="CK66" s="303"/>
      <c r="CL66" s="303"/>
      <c r="CM66" s="303"/>
      <c r="CN66" s="303"/>
      <c r="CO66" s="303"/>
      <c r="CP66" s="303"/>
      <c r="CQ66" s="303"/>
      <c r="CR66" s="303"/>
      <c r="CS66" s="303"/>
      <c r="CT66" s="303"/>
      <c r="CU66" s="303"/>
      <c r="CV66" s="303"/>
      <c r="CW66" s="303"/>
      <c r="CX66" s="303"/>
      <c r="CY66" s="303"/>
      <c r="CZ66" s="303"/>
      <c r="DA66" s="303"/>
      <c r="DB66" s="303"/>
      <c r="DC66" s="303"/>
      <c r="DD66" s="303"/>
      <c r="DE66" s="303"/>
      <c r="DF66" s="303"/>
      <c r="DG66" s="303"/>
      <c r="DH66" s="303"/>
      <c r="DI66" s="303"/>
      <c r="DJ66" s="303"/>
      <c r="DK66" s="303"/>
      <c r="DL66" s="303"/>
      <c r="DM66" s="303"/>
      <c r="DN66" s="303"/>
      <c r="DO66" s="303"/>
      <c r="DP66" s="303"/>
      <c r="DQ66" s="303"/>
      <c r="DR66" s="303"/>
      <c r="DS66" s="303"/>
      <c r="DT66" s="303"/>
      <c r="DU66" s="303"/>
      <c r="DV66" s="303"/>
      <c r="DW66" s="303"/>
      <c r="DX66" s="303"/>
      <c r="DY66" s="303"/>
      <c r="DZ66" s="303"/>
      <c r="EA66" s="303"/>
      <c r="EB66" s="303"/>
      <c r="EC66" s="303"/>
      <c r="ED66" s="303"/>
      <c r="EE66" s="303"/>
      <c r="EF66" s="303"/>
      <c r="EG66" s="303"/>
      <c r="EH66" s="303"/>
      <c r="EI66" s="303"/>
      <c r="EJ66" s="303"/>
      <c r="EK66" s="303"/>
      <c r="EL66" s="303"/>
      <c r="EM66" s="303"/>
      <c r="EN66" s="303"/>
      <c r="EO66" s="303"/>
      <c r="EP66" s="303"/>
      <c r="EQ66" s="303"/>
      <c r="ER66" s="303"/>
      <c r="ES66" s="303"/>
      <c r="ET66" s="303"/>
      <c r="EU66" s="303"/>
      <c r="EV66" s="303"/>
      <c r="EW66" s="303"/>
      <c r="EX66" s="303"/>
      <c r="EY66" s="303"/>
      <c r="EZ66" s="303"/>
      <c r="FA66" s="303"/>
      <c r="FB66" s="303"/>
      <c r="FC66" s="303"/>
      <c r="FD66" s="303"/>
      <c r="FE66" s="303"/>
      <c r="FF66" s="303"/>
      <c r="FG66" s="303"/>
      <c r="FH66" s="303"/>
      <c r="FI66" s="303"/>
      <c r="FJ66" s="303"/>
      <c r="FK66" s="303"/>
      <c r="FL66" s="303"/>
      <c r="FM66" s="303"/>
      <c r="FN66" s="303"/>
      <c r="FO66" s="303"/>
      <c r="FP66" s="303"/>
      <c r="FQ66" s="303"/>
      <c r="FR66" s="303"/>
      <c r="FS66" s="303"/>
      <c r="FT66" s="303"/>
      <c r="FU66" s="303"/>
      <c r="FV66" s="303"/>
      <c r="FW66" s="303"/>
      <c r="FX66" s="303"/>
      <c r="FY66" s="303"/>
      <c r="FZ66" s="303"/>
      <c r="GA66" s="303"/>
      <c r="GB66" s="303"/>
      <c r="GC66" s="303"/>
      <c r="GD66" s="303"/>
      <c r="GE66" s="303"/>
      <c r="GF66" s="303"/>
      <c r="GG66" s="303"/>
      <c r="GH66" s="303"/>
      <c r="GI66" s="303"/>
      <c r="GJ66" s="303"/>
      <c r="GK66" s="303"/>
      <c r="GL66" s="303"/>
      <c r="GM66" s="303"/>
      <c r="GN66" s="303"/>
      <c r="GO66" s="303"/>
      <c r="GP66" s="303"/>
      <c r="GQ66" s="303"/>
      <c r="GR66" s="303"/>
      <c r="GS66" s="303"/>
      <c r="GT66" s="303"/>
      <c r="GU66" s="303"/>
      <c r="GV66" s="303"/>
      <c r="GW66" s="303"/>
      <c r="GX66" s="303"/>
      <c r="GY66" s="303"/>
    </row>
    <row r="67" spans="1:207" s="639" customFormat="1">
      <c r="A67" s="368" t="s">
        <v>1023</v>
      </c>
      <c r="B67" s="701" t="s">
        <v>1015</v>
      </c>
      <c r="C67" s="633"/>
      <c r="D67" s="681"/>
      <c r="E67" s="19"/>
      <c r="F67" s="19"/>
      <c r="G67" s="19"/>
      <c r="H67" s="19"/>
      <c r="I67" s="1361">
        <v>18223.727999999999</v>
      </c>
      <c r="J67" s="852"/>
      <c r="K67" s="827"/>
      <c r="L67" s="1384"/>
      <c r="M67" s="852">
        <v>40</v>
      </c>
      <c r="N67" s="827">
        <f t="shared" si="8"/>
        <v>2.5</v>
      </c>
      <c r="O67" s="828">
        <f t="shared" si="9"/>
        <v>455.59320000000002</v>
      </c>
      <c r="P67" s="1437"/>
      <c r="Q67" s="1437"/>
      <c r="R67" s="1437"/>
      <c r="S67" s="1437"/>
      <c r="T67" s="1437"/>
      <c r="U67" s="1437"/>
      <c r="V67" s="1437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03"/>
      <c r="BF67" s="303"/>
      <c r="BG67" s="303"/>
      <c r="BH67" s="303"/>
      <c r="BI67" s="303"/>
      <c r="BJ67" s="303"/>
      <c r="BK67" s="303"/>
      <c r="BL67" s="303"/>
      <c r="BM67" s="303"/>
      <c r="BN67" s="303"/>
      <c r="BO67" s="303"/>
      <c r="BP67" s="303"/>
      <c r="BQ67" s="303"/>
      <c r="BR67" s="303"/>
      <c r="BS67" s="303"/>
      <c r="BT67" s="303"/>
      <c r="BU67" s="303"/>
      <c r="BV67" s="303"/>
      <c r="BW67" s="303"/>
      <c r="BX67" s="303"/>
      <c r="BY67" s="303"/>
      <c r="BZ67" s="303"/>
      <c r="CA67" s="303"/>
      <c r="CB67" s="303"/>
      <c r="CC67" s="303"/>
      <c r="CD67" s="303"/>
      <c r="CE67" s="303"/>
      <c r="CF67" s="303"/>
      <c r="CG67" s="303"/>
      <c r="CH67" s="303"/>
      <c r="CI67" s="303"/>
      <c r="CJ67" s="303"/>
      <c r="CK67" s="303"/>
      <c r="CL67" s="303"/>
      <c r="CM67" s="303"/>
      <c r="CN67" s="303"/>
      <c r="CO67" s="303"/>
      <c r="CP67" s="303"/>
      <c r="CQ67" s="303"/>
      <c r="CR67" s="303"/>
      <c r="CS67" s="303"/>
      <c r="CT67" s="303"/>
      <c r="CU67" s="303"/>
      <c r="CV67" s="303"/>
      <c r="CW67" s="303"/>
      <c r="CX67" s="303"/>
      <c r="CY67" s="303"/>
      <c r="CZ67" s="303"/>
      <c r="DA67" s="303"/>
      <c r="DB67" s="303"/>
      <c r="DC67" s="303"/>
      <c r="DD67" s="303"/>
      <c r="DE67" s="303"/>
      <c r="DF67" s="303"/>
      <c r="DG67" s="303"/>
      <c r="DH67" s="303"/>
      <c r="DI67" s="303"/>
      <c r="DJ67" s="303"/>
      <c r="DK67" s="303"/>
      <c r="DL67" s="303"/>
      <c r="DM67" s="303"/>
      <c r="DN67" s="303"/>
      <c r="DO67" s="303"/>
      <c r="DP67" s="303"/>
      <c r="DQ67" s="303"/>
      <c r="DR67" s="303"/>
      <c r="DS67" s="303"/>
      <c r="DT67" s="303"/>
      <c r="DU67" s="303"/>
      <c r="DV67" s="303"/>
      <c r="DW67" s="303"/>
      <c r="DX67" s="303"/>
      <c r="DY67" s="303"/>
      <c r="DZ67" s="303"/>
      <c r="EA67" s="303"/>
      <c r="EB67" s="303"/>
      <c r="EC67" s="303"/>
      <c r="ED67" s="303"/>
      <c r="EE67" s="303"/>
      <c r="EF67" s="303"/>
      <c r="EG67" s="303"/>
      <c r="EH67" s="303"/>
      <c r="EI67" s="303"/>
      <c r="EJ67" s="303"/>
      <c r="EK67" s="303"/>
      <c r="EL67" s="303"/>
      <c r="EM67" s="303"/>
      <c r="EN67" s="303"/>
      <c r="EO67" s="303"/>
      <c r="EP67" s="303"/>
      <c r="EQ67" s="303"/>
      <c r="ER67" s="303"/>
      <c r="ES67" s="303"/>
      <c r="ET67" s="303"/>
      <c r="EU67" s="303"/>
      <c r="EV67" s="303"/>
      <c r="EW67" s="303"/>
      <c r="EX67" s="303"/>
      <c r="EY67" s="303"/>
      <c r="EZ67" s="303"/>
      <c r="FA67" s="303"/>
      <c r="FB67" s="303"/>
      <c r="FC67" s="303"/>
      <c r="FD67" s="303"/>
      <c r="FE67" s="303"/>
      <c r="FF67" s="303"/>
      <c r="FG67" s="303"/>
      <c r="FH67" s="303"/>
      <c r="FI67" s="303"/>
      <c r="FJ67" s="303"/>
      <c r="FK67" s="303"/>
      <c r="FL67" s="303"/>
      <c r="FM67" s="303"/>
      <c r="FN67" s="303"/>
      <c r="FO67" s="303"/>
      <c r="FP67" s="303"/>
      <c r="FQ67" s="303"/>
      <c r="FR67" s="303"/>
      <c r="FS67" s="303"/>
      <c r="FT67" s="303"/>
      <c r="FU67" s="303"/>
      <c r="FV67" s="303"/>
      <c r="FW67" s="303"/>
      <c r="FX67" s="303"/>
      <c r="FY67" s="303"/>
      <c r="FZ67" s="303"/>
      <c r="GA67" s="303"/>
      <c r="GB67" s="303"/>
      <c r="GC67" s="303"/>
      <c r="GD67" s="303"/>
      <c r="GE67" s="303"/>
      <c r="GF67" s="303"/>
      <c r="GG67" s="303"/>
      <c r="GH67" s="303"/>
      <c r="GI67" s="303"/>
      <c r="GJ67" s="303"/>
      <c r="GK67" s="303"/>
      <c r="GL67" s="303"/>
      <c r="GM67" s="303"/>
      <c r="GN67" s="303"/>
      <c r="GO67" s="303"/>
      <c r="GP67" s="303"/>
      <c r="GQ67" s="303"/>
      <c r="GR67" s="303"/>
      <c r="GS67" s="303"/>
      <c r="GT67" s="303"/>
      <c r="GU67" s="303"/>
      <c r="GV67" s="303"/>
      <c r="GW67" s="303"/>
      <c r="GX67" s="303"/>
      <c r="GY67" s="303"/>
    </row>
    <row r="68" spans="1:207" s="639" customFormat="1">
      <c r="A68" s="368" t="s">
        <v>1024</v>
      </c>
      <c r="B68" s="701" t="s">
        <v>1016</v>
      </c>
      <c r="C68" s="633"/>
      <c r="D68" s="681"/>
      <c r="E68" s="19"/>
      <c r="F68" s="19"/>
      <c r="G68" s="19"/>
      <c r="H68" s="19"/>
      <c r="I68" s="1361">
        <v>9100.73</v>
      </c>
      <c r="J68" s="852"/>
      <c r="K68" s="827"/>
      <c r="L68" s="1384"/>
      <c r="M68" s="852">
        <v>40</v>
      </c>
      <c r="N68" s="827">
        <f t="shared" si="8"/>
        <v>2.5</v>
      </c>
      <c r="O68" s="828">
        <f t="shared" si="9"/>
        <v>227.51824999999997</v>
      </c>
      <c r="P68" s="1437"/>
      <c r="Q68" s="1437"/>
      <c r="R68" s="1437"/>
      <c r="S68" s="1437"/>
      <c r="T68" s="1437"/>
      <c r="U68" s="1437"/>
      <c r="V68" s="1437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3"/>
      <c r="BF68" s="303"/>
      <c r="BG68" s="303"/>
      <c r="BH68" s="303"/>
      <c r="BI68" s="303"/>
      <c r="BJ68" s="303"/>
      <c r="BK68" s="303"/>
      <c r="BL68" s="303"/>
      <c r="BM68" s="303"/>
      <c r="BN68" s="303"/>
      <c r="BO68" s="303"/>
      <c r="BP68" s="303"/>
      <c r="BQ68" s="303"/>
      <c r="BR68" s="303"/>
      <c r="BS68" s="303"/>
      <c r="BT68" s="303"/>
      <c r="BU68" s="303"/>
      <c r="BV68" s="303"/>
      <c r="BW68" s="303"/>
      <c r="BX68" s="303"/>
      <c r="BY68" s="303"/>
      <c r="BZ68" s="303"/>
      <c r="CA68" s="303"/>
      <c r="CB68" s="303"/>
      <c r="CC68" s="303"/>
      <c r="CD68" s="303"/>
      <c r="CE68" s="303"/>
      <c r="CF68" s="303"/>
      <c r="CG68" s="303"/>
      <c r="CH68" s="303"/>
      <c r="CI68" s="303"/>
      <c r="CJ68" s="303"/>
      <c r="CK68" s="303"/>
      <c r="CL68" s="303"/>
      <c r="CM68" s="303"/>
      <c r="CN68" s="303"/>
      <c r="CO68" s="303"/>
      <c r="CP68" s="303"/>
      <c r="CQ68" s="303"/>
      <c r="CR68" s="303"/>
      <c r="CS68" s="303"/>
      <c r="CT68" s="303"/>
      <c r="CU68" s="303"/>
      <c r="CV68" s="303"/>
      <c r="CW68" s="303"/>
      <c r="CX68" s="303"/>
      <c r="CY68" s="303"/>
      <c r="CZ68" s="303"/>
      <c r="DA68" s="303"/>
      <c r="DB68" s="303"/>
      <c r="DC68" s="303"/>
      <c r="DD68" s="303"/>
      <c r="DE68" s="303"/>
      <c r="DF68" s="303"/>
      <c r="DG68" s="303"/>
      <c r="DH68" s="303"/>
      <c r="DI68" s="303"/>
      <c r="DJ68" s="303"/>
      <c r="DK68" s="303"/>
      <c r="DL68" s="303"/>
      <c r="DM68" s="303"/>
      <c r="DN68" s="303"/>
      <c r="DO68" s="303"/>
      <c r="DP68" s="303"/>
      <c r="DQ68" s="303"/>
      <c r="DR68" s="303"/>
      <c r="DS68" s="303"/>
      <c r="DT68" s="303"/>
      <c r="DU68" s="303"/>
      <c r="DV68" s="303"/>
      <c r="DW68" s="303"/>
      <c r="DX68" s="303"/>
      <c r="DY68" s="303"/>
      <c r="DZ68" s="303"/>
      <c r="EA68" s="303"/>
      <c r="EB68" s="303"/>
      <c r="EC68" s="303"/>
      <c r="ED68" s="303"/>
      <c r="EE68" s="303"/>
      <c r="EF68" s="303"/>
      <c r="EG68" s="303"/>
      <c r="EH68" s="303"/>
      <c r="EI68" s="303"/>
      <c r="EJ68" s="303"/>
      <c r="EK68" s="303"/>
      <c r="EL68" s="303"/>
      <c r="EM68" s="303"/>
      <c r="EN68" s="303"/>
      <c r="EO68" s="303"/>
      <c r="EP68" s="303"/>
      <c r="EQ68" s="303"/>
      <c r="ER68" s="303"/>
      <c r="ES68" s="303"/>
      <c r="ET68" s="303"/>
      <c r="EU68" s="303"/>
      <c r="EV68" s="303"/>
      <c r="EW68" s="303"/>
      <c r="EX68" s="303"/>
      <c r="EY68" s="303"/>
      <c r="EZ68" s="303"/>
      <c r="FA68" s="303"/>
      <c r="FB68" s="303"/>
      <c r="FC68" s="303"/>
      <c r="FD68" s="303"/>
      <c r="FE68" s="303"/>
      <c r="FF68" s="303"/>
      <c r="FG68" s="303"/>
      <c r="FH68" s="303"/>
      <c r="FI68" s="303"/>
      <c r="FJ68" s="303"/>
      <c r="FK68" s="303"/>
      <c r="FL68" s="303"/>
      <c r="FM68" s="303"/>
      <c r="FN68" s="303"/>
      <c r="FO68" s="303"/>
      <c r="FP68" s="303"/>
      <c r="FQ68" s="303"/>
      <c r="FR68" s="303"/>
      <c r="FS68" s="303"/>
      <c r="FT68" s="303"/>
      <c r="FU68" s="303"/>
      <c r="FV68" s="303"/>
      <c r="FW68" s="303"/>
      <c r="FX68" s="303"/>
      <c r="FY68" s="303"/>
      <c r="FZ68" s="303"/>
      <c r="GA68" s="303"/>
      <c r="GB68" s="303"/>
      <c r="GC68" s="303"/>
      <c r="GD68" s="303"/>
      <c r="GE68" s="303"/>
      <c r="GF68" s="303"/>
      <c r="GG68" s="303"/>
      <c r="GH68" s="303"/>
      <c r="GI68" s="303"/>
      <c r="GJ68" s="303"/>
      <c r="GK68" s="303"/>
      <c r="GL68" s="303"/>
      <c r="GM68" s="303"/>
      <c r="GN68" s="303"/>
      <c r="GO68" s="303"/>
      <c r="GP68" s="303"/>
      <c r="GQ68" s="303"/>
      <c r="GR68" s="303"/>
      <c r="GS68" s="303"/>
      <c r="GT68" s="303"/>
      <c r="GU68" s="303"/>
      <c r="GV68" s="303"/>
      <c r="GW68" s="303"/>
      <c r="GX68" s="303"/>
      <c r="GY68" s="303"/>
    </row>
    <row r="69" spans="1:207" s="639" customFormat="1">
      <c r="A69" s="368" t="s">
        <v>1025</v>
      </c>
      <c r="B69" s="701" t="s">
        <v>1017</v>
      </c>
      <c r="C69" s="633"/>
      <c r="D69" s="681"/>
      <c r="E69" s="19"/>
      <c r="F69" s="19"/>
      <c r="G69" s="19"/>
      <c r="H69" s="19"/>
      <c r="I69" s="1361">
        <v>24269.5</v>
      </c>
      <c r="J69" s="852"/>
      <c r="K69" s="827"/>
      <c r="L69" s="1384"/>
      <c r="M69" s="852">
        <v>37</v>
      </c>
      <c r="N69" s="827">
        <f t="shared" si="8"/>
        <v>2.7027027027027026</v>
      </c>
      <c r="O69" s="828">
        <f t="shared" si="9"/>
        <v>655.93243243243239</v>
      </c>
      <c r="P69" s="1437"/>
      <c r="Q69" s="1437"/>
      <c r="R69" s="1437"/>
      <c r="S69" s="1437"/>
      <c r="T69" s="1437"/>
      <c r="U69" s="1437"/>
      <c r="V69" s="1437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3"/>
      <c r="BF69" s="303"/>
      <c r="BG69" s="303"/>
      <c r="BH69" s="303"/>
      <c r="BI69" s="303"/>
      <c r="BJ69" s="303"/>
      <c r="BK69" s="303"/>
      <c r="BL69" s="303"/>
      <c r="BM69" s="303"/>
      <c r="BN69" s="303"/>
      <c r="BO69" s="303"/>
      <c r="BP69" s="303"/>
      <c r="BQ69" s="303"/>
      <c r="BR69" s="303"/>
      <c r="BS69" s="303"/>
      <c r="BT69" s="303"/>
      <c r="BU69" s="303"/>
      <c r="BV69" s="303"/>
      <c r="BW69" s="303"/>
      <c r="BX69" s="303"/>
      <c r="BY69" s="303"/>
      <c r="BZ69" s="303"/>
      <c r="CA69" s="303"/>
      <c r="CB69" s="303"/>
      <c r="CC69" s="303"/>
      <c r="CD69" s="303"/>
      <c r="CE69" s="303"/>
      <c r="CF69" s="303"/>
      <c r="CG69" s="303"/>
      <c r="CH69" s="303"/>
      <c r="CI69" s="303"/>
      <c r="CJ69" s="303"/>
      <c r="CK69" s="303"/>
      <c r="CL69" s="303"/>
      <c r="CM69" s="303"/>
      <c r="CN69" s="303"/>
      <c r="CO69" s="303"/>
      <c r="CP69" s="303"/>
      <c r="CQ69" s="303"/>
      <c r="CR69" s="303"/>
      <c r="CS69" s="303"/>
      <c r="CT69" s="303"/>
      <c r="CU69" s="303"/>
      <c r="CV69" s="303"/>
      <c r="CW69" s="303"/>
      <c r="CX69" s="303"/>
      <c r="CY69" s="303"/>
      <c r="CZ69" s="303"/>
      <c r="DA69" s="303"/>
      <c r="DB69" s="303"/>
      <c r="DC69" s="303"/>
      <c r="DD69" s="303"/>
      <c r="DE69" s="303"/>
      <c r="DF69" s="303"/>
      <c r="DG69" s="303"/>
      <c r="DH69" s="303"/>
      <c r="DI69" s="303"/>
      <c r="DJ69" s="303"/>
      <c r="DK69" s="303"/>
      <c r="DL69" s="303"/>
      <c r="DM69" s="303"/>
      <c r="DN69" s="303"/>
      <c r="DO69" s="303"/>
      <c r="DP69" s="303"/>
      <c r="DQ69" s="303"/>
      <c r="DR69" s="303"/>
      <c r="DS69" s="303"/>
      <c r="DT69" s="303"/>
      <c r="DU69" s="303"/>
      <c r="DV69" s="303"/>
      <c r="DW69" s="303"/>
      <c r="DX69" s="303"/>
      <c r="DY69" s="303"/>
      <c r="DZ69" s="303"/>
      <c r="EA69" s="303"/>
      <c r="EB69" s="303"/>
      <c r="EC69" s="303"/>
      <c r="ED69" s="303"/>
      <c r="EE69" s="303"/>
      <c r="EF69" s="303"/>
      <c r="EG69" s="303"/>
      <c r="EH69" s="303"/>
      <c r="EI69" s="303"/>
      <c r="EJ69" s="303"/>
      <c r="EK69" s="303"/>
      <c r="EL69" s="303"/>
      <c r="EM69" s="303"/>
      <c r="EN69" s="303"/>
      <c r="EO69" s="303"/>
      <c r="EP69" s="303"/>
      <c r="EQ69" s="303"/>
      <c r="ER69" s="303"/>
      <c r="ES69" s="303"/>
      <c r="ET69" s="303"/>
      <c r="EU69" s="303"/>
      <c r="EV69" s="303"/>
      <c r="EW69" s="303"/>
      <c r="EX69" s="303"/>
      <c r="EY69" s="303"/>
      <c r="EZ69" s="303"/>
      <c r="FA69" s="303"/>
      <c r="FB69" s="303"/>
      <c r="FC69" s="303"/>
      <c r="FD69" s="303"/>
      <c r="FE69" s="303"/>
      <c r="FF69" s="303"/>
      <c r="FG69" s="303"/>
      <c r="FH69" s="303"/>
      <c r="FI69" s="303"/>
      <c r="FJ69" s="303"/>
      <c r="FK69" s="303"/>
      <c r="FL69" s="303"/>
      <c r="FM69" s="303"/>
      <c r="FN69" s="303"/>
      <c r="FO69" s="303"/>
      <c r="FP69" s="303"/>
      <c r="FQ69" s="303"/>
      <c r="FR69" s="303"/>
      <c r="FS69" s="303"/>
      <c r="FT69" s="303"/>
      <c r="FU69" s="303"/>
      <c r="FV69" s="303"/>
      <c r="FW69" s="303"/>
      <c r="FX69" s="303"/>
      <c r="FY69" s="303"/>
      <c r="FZ69" s="303"/>
      <c r="GA69" s="303"/>
      <c r="GB69" s="303"/>
      <c r="GC69" s="303"/>
      <c r="GD69" s="303"/>
      <c r="GE69" s="303"/>
      <c r="GF69" s="303"/>
      <c r="GG69" s="303"/>
      <c r="GH69" s="303"/>
      <c r="GI69" s="303"/>
      <c r="GJ69" s="303"/>
      <c r="GK69" s="303"/>
      <c r="GL69" s="303"/>
      <c r="GM69" s="303"/>
      <c r="GN69" s="303"/>
      <c r="GO69" s="303"/>
      <c r="GP69" s="303"/>
      <c r="GQ69" s="303"/>
      <c r="GR69" s="303"/>
      <c r="GS69" s="303"/>
      <c r="GT69" s="303"/>
      <c r="GU69" s="303"/>
      <c r="GV69" s="303"/>
      <c r="GW69" s="303"/>
      <c r="GX69" s="303"/>
      <c r="GY69" s="303"/>
    </row>
    <row r="70" spans="1:207" s="639" customFormat="1">
      <c r="A70" s="368" t="s">
        <v>1026</v>
      </c>
      <c r="B70" s="701" t="s">
        <v>1018</v>
      </c>
      <c r="C70" s="633"/>
      <c r="D70" s="681"/>
      <c r="E70" s="19"/>
      <c r="F70" s="19"/>
      <c r="G70" s="19"/>
      <c r="H70" s="19"/>
      <c r="I70" s="1361">
        <v>359407.40511724137</v>
      </c>
      <c r="J70" s="852"/>
      <c r="K70" s="827"/>
      <c r="L70" s="1384"/>
      <c r="M70" s="852">
        <v>31</v>
      </c>
      <c r="N70" s="827">
        <f t="shared" si="8"/>
        <v>3.225806451612903</v>
      </c>
      <c r="O70" s="828">
        <f t="shared" si="9"/>
        <v>11593.787261846497</v>
      </c>
      <c r="P70" s="1437"/>
      <c r="Q70" s="1437"/>
      <c r="R70" s="1437"/>
      <c r="S70" s="1437"/>
      <c r="T70" s="1437"/>
      <c r="U70" s="1437"/>
      <c r="V70" s="1437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03"/>
      <c r="BF70" s="303"/>
      <c r="BG70" s="303"/>
      <c r="BH70" s="303"/>
      <c r="BI70" s="303"/>
      <c r="BJ70" s="303"/>
      <c r="BK70" s="303"/>
      <c r="BL70" s="303"/>
      <c r="BM70" s="303"/>
      <c r="BN70" s="303"/>
      <c r="BO70" s="303"/>
      <c r="BP70" s="303"/>
      <c r="BQ70" s="303"/>
      <c r="BR70" s="303"/>
      <c r="BS70" s="303"/>
      <c r="BT70" s="303"/>
      <c r="BU70" s="303"/>
      <c r="BV70" s="303"/>
      <c r="BW70" s="303"/>
      <c r="BX70" s="303"/>
      <c r="BY70" s="303"/>
      <c r="BZ70" s="303"/>
      <c r="CA70" s="303"/>
      <c r="CB70" s="303"/>
      <c r="CC70" s="303"/>
      <c r="CD70" s="303"/>
      <c r="CE70" s="303"/>
      <c r="CF70" s="303"/>
      <c r="CG70" s="303"/>
      <c r="CH70" s="303"/>
      <c r="CI70" s="303"/>
      <c r="CJ70" s="303"/>
      <c r="CK70" s="303"/>
      <c r="CL70" s="303"/>
      <c r="CM70" s="303"/>
      <c r="CN70" s="303"/>
      <c r="CO70" s="303"/>
      <c r="CP70" s="303"/>
      <c r="CQ70" s="303"/>
      <c r="CR70" s="303"/>
      <c r="CS70" s="303"/>
      <c r="CT70" s="303"/>
      <c r="CU70" s="303"/>
      <c r="CV70" s="303"/>
      <c r="CW70" s="303"/>
      <c r="CX70" s="303"/>
      <c r="CY70" s="303"/>
      <c r="CZ70" s="303"/>
      <c r="DA70" s="303"/>
      <c r="DB70" s="303"/>
      <c r="DC70" s="303"/>
      <c r="DD70" s="303"/>
      <c r="DE70" s="303"/>
      <c r="DF70" s="303"/>
      <c r="DG70" s="303"/>
      <c r="DH70" s="303"/>
      <c r="DI70" s="303"/>
      <c r="DJ70" s="303"/>
      <c r="DK70" s="303"/>
      <c r="DL70" s="303"/>
      <c r="DM70" s="303"/>
      <c r="DN70" s="303"/>
      <c r="DO70" s="303"/>
      <c r="DP70" s="303"/>
      <c r="DQ70" s="303"/>
      <c r="DR70" s="303"/>
      <c r="DS70" s="303"/>
      <c r="DT70" s="303"/>
      <c r="DU70" s="303"/>
      <c r="DV70" s="303"/>
      <c r="DW70" s="303"/>
      <c r="DX70" s="303"/>
      <c r="DY70" s="303"/>
      <c r="DZ70" s="303"/>
      <c r="EA70" s="303"/>
      <c r="EB70" s="303"/>
      <c r="EC70" s="303"/>
      <c r="ED70" s="303"/>
      <c r="EE70" s="303"/>
      <c r="EF70" s="303"/>
      <c r="EG70" s="303"/>
      <c r="EH70" s="303"/>
      <c r="EI70" s="303"/>
      <c r="EJ70" s="303"/>
      <c r="EK70" s="303"/>
      <c r="EL70" s="303"/>
      <c r="EM70" s="303"/>
      <c r="EN70" s="303"/>
      <c r="EO70" s="303"/>
      <c r="EP70" s="303"/>
      <c r="EQ70" s="303"/>
      <c r="ER70" s="303"/>
      <c r="ES70" s="303"/>
      <c r="ET70" s="303"/>
      <c r="EU70" s="303"/>
      <c r="EV70" s="303"/>
      <c r="EW70" s="303"/>
      <c r="EX70" s="303"/>
      <c r="EY70" s="303"/>
      <c r="EZ70" s="303"/>
      <c r="FA70" s="303"/>
      <c r="FB70" s="303"/>
      <c r="FC70" s="303"/>
      <c r="FD70" s="303"/>
      <c r="FE70" s="303"/>
      <c r="FF70" s="303"/>
      <c r="FG70" s="303"/>
      <c r="FH70" s="303"/>
      <c r="FI70" s="303"/>
      <c r="FJ70" s="303"/>
      <c r="FK70" s="303"/>
      <c r="FL70" s="303"/>
      <c r="FM70" s="303"/>
      <c r="FN70" s="303"/>
      <c r="FO70" s="303"/>
      <c r="FP70" s="303"/>
      <c r="FQ70" s="303"/>
      <c r="FR70" s="303"/>
      <c r="FS70" s="303"/>
      <c r="FT70" s="303"/>
      <c r="FU70" s="303"/>
      <c r="FV70" s="303"/>
      <c r="FW70" s="303"/>
      <c r="FX70" s="303"/>
      <c r="FY70" s="303"/>
      <c r="FZ70" s="303"/>
      <c r="GA70" s="303"/>
      <c r="GB70" s="303"/>
      <c r="GC70" s="303"/>
      <c r="GD70" s="303"/>
      <c r="GE70" s="303"/>
      <c r="GF70" s="303"/>
      <c r="GG70" s="303"/>
      <c r="GH70" s="303"/>
      <c r="GI70" s="303"/>
      <c r="GJ70" s="303"/>
      <c r="GK70" s="303"/>
      <c r="GL70" s="303"/>
      <c r="GM70" s="303"/>
      <c r="GN70" s="303"/>
      <c r="GO70" s="303"/>
      <c r="GP70" s="303"/>
      <c r="GQ70" s="303"/>
      <c r="GR70" s="303"/>
      <c r="GS70" s="303"/>
      <c r="GT70" s="303"/>
      <c r="GU70" s="303"/>
      <c r="GV70" s="303"/>
      <c r="GW70" s="303"/>
      <c r="GX70" s="303"/>
      <c r="GY70" s="303"/>
    </row>
    <row r="71" spans="1:207" s="639" customFormat="1" ht="13.8" customHeight="1">
      <c r="A71" s="368" t="s">
        <v>1027</v>
      </c>
      <c r="B71" s="701" t="s">
        <v>1229</v>
      </c>
      <c r="C71" s="633"/>
      <c r="D71" s="681"/>
      <c r="E71" s="19"/>
      <c r="F71" s="19"/>
      <c r="G71" s="19"/>
      <c r="H71" s="19"/>
      <c r="I71" s="1361">
        <f>51633+2700</f>
        <v>54333</v>
      </c>
      <c r="J71" s="852"/>
      <c r="K71" s="827"/>
      <c r="L71" s="1384"/>
      <c r="M71" s="852">
        <v>20</v>
      </c>
      <c r="N71" s="827">
        <f t="shared" si="8"/>
        <v>5</v>
      </c>
      <c r="O71" s="828">
        <f t="shared" si="9"/>
        <v>2716.65</v>
      </c>
      <c r="P71" s="1437"/>
      <c r="Q71" s="1437"/>
      <c r="R71" s="1437"/>
      <c r="S71" s="1437"/>
      <c r="T71" s="1437"/>
      <c r="U71" s="1437"/>
      <c r="V71" s="1437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3"/>
      <c r="BF71" s="303"/>
      <c r="BG71" s="303"/>
      <c r="BH71" s="303"/>
      <c r="BI71" s="303"/>
      <c r="BJ71" s="303"/>
      <c r="BK71" s="303"/>
      <c r="BL71" s="303"/>
      <c r="BM71" s="303"/>
      <c r="BN71" s="303"/>
      <c r="BO71" s="303"/>
      <c r="BP71" s="303"/>
      <c r="BQ71" s="303"/>
      <c r="BR71" s="303"/>
      <c r="BS71" s="303"/>
      <c r="BT71" s="303"/>
      <c r="BU71" s="303"/>
      <c r="BV71" s="303"/>
      <c r="BW71" s="303"/>
      <c r="BX71" s="303"/>
      <c r="BY71" s="303"/>
      <c r="BZ71" s="303"/>
      <c r="CA71" s="303"/>
      <c r="CB71" s="303"/>
      <c r="CC71" s="303"/>
      <c r="CD71" s="303"/>
      <c r="CE71" s="303"/>
      <c r="CF71" s="303"/>
      <c r="CG71" s="303"/>
      <c r="CH71" s="303"/>
      <c r="CI71" s="303"/>
      <c r="CJ71" s="303"/>
      <c r="CK71" s="303"/>
      <c r="CL71" s="303"/>
      <c r="CM71" s="303"/>
      <c r="CN71" s="303"/>
      <c r="CO71" s="303"/>
      <c r="CP71" s="303"/>
      <c r="CQ71" s="303"/>
      <c r="CR71" s="303"/>
      <c r="CS71" s="303"/>
      <c r="CT71" s="303"/>
      <c r="CU71" s="303"/>
      <c r="CV71" s="303"/>
      <c r="CW71" s="303"/>
      <c r="CX71" s="303"/>
      <c r="CY71" s="303"/>
      <c r="CZ71" s="303"/>
      <c r="DA71" s="303"/>
      <c r="DB71" s="303"/>
      <c r="DC71" s="303"/>
      <c r="DD71" s="303"/>
      <c r="DE71" s="303"/>
      <c r="DF71" s="303"/>
      <c r="DG71" s="303"/>
      <c r="DH71" s="303"/>
      <c r="DI71" s="303"/>
      <c r="DJ71" s="303"/>
      <c r="DK71" s="303"/>
      <c r="DL71" s="303"/>
      <c r="DM71" s="303"/>
      <c r="DN71" s="303"/>
      <c r="DO71" s="303"/>
      <c r="DP71" s="303"/>
      <c r="DQ71" s="303"/>
      <c r="DR71" s="303"/>
      <c r="DS71" s="303"/>
      <c r="DT71" s="303"/>
      <c r="DU71" s="303"/>
      <c r="DV71" s="303"/>
      <c r="DW71" s="303"/>
      <c r="DX71" s="303"/>
      <c r="DY71" s="303"/>
      <c r="DZ71" s="303"/>
      <c r="EA71" s="303"/>
      <c r="EB71" s="303"/>
      <c r="EC71" s="303"/>
      <c r="ED71" s="303"/>
      <c r="EE71" s="303"/>
      <c r="EF71" s="303"/>
      <c r="EG71" s="303"/>
      <c r="EH71" s="303"/>
      <c r="EI71" s="303"/>
      <c r="EJ71" s="303"/>
      <c r="EK71" s="303"/>
      <c r="EL71" s="303"/>
      <c r="EM71" s="303"/>
      <c r="EN71" s="303"/>
      <c r="EO71" s="303"/>
      <c r="EP71" s="303"/>
      <c r="EQ71" s="303"/>
      <c r="ER71" s="303"/>
      <c r="ES71" s="303"/>
      <c r="ET71" s="303"/>
      <c r="EU71" s="303"/>
      <c r="EV71" s="303"/>
      <c r="EW71" s="303"/>
      <c r="EX71" s="303"/>
      <c r="EY71" s="303"/>
      <c r="EZ71" s="303"/>
      <c r="FA71" s="303"/>
      <c r="FB71" s="303"/>
      <c r="FC71" s="303"/>
      <c r="FD71" s="303"/>
      <c r="FE71" s="303"/>
      <c r="FF71" s="303"/>
      <c r="FG71" s="303"/>
      <c r="FH71" s="303"/>
      <c r="FI71" s="303"/>
      <c r="FJ71" s="303"/>
      <c r="FK71" s="303"/>
      <c r="FL71" s="303"/>
      <c r="FM71" s="303"/>
      <c r="FN71" s="303"/>
      <c r="FO71" s="303"/>
      <c r="FP71" s="303"/>
      <c r="FQ71" s="303"/>
      <c r="FR71" s="303"/>
      <c r="FS71" s="303"/>
      <c r="FT71" s="303"/>
      <c r="FU71" s="303"/>
      <c r="FV71" s="303"/>
      <c r="FW71" s="303"/>
      <c r="FX71" s="303"/>
      <c r="FY71" s="303"/>
      <c r="FZ71" s="303"/>
      <c r="GA71" s="303"/>
      <c r="GB71" s="303"/>
      <c r="GC71" s="303"/>
      <c r="GD71" s="303"/>
      <c r="GE71" s="303"/>
      <c r="GF71" s="303"/>
      <c r="GG71" s="303"/>
      <c r="GH71" s="303"/>
      <c r="GI71" s="303"/>
      <c r="GJ71" s="303"/>
      <c r="GK71" s="303"/>
      <c r="GL71" s="303"/>
      <c r="GM71" s="303"/>
      <c r="GN71" s="303"/>
      <c r="GO71" s="303"/>
      <c r="GP71" s="303"/>
      <c r="GQ71" s="303"/>
      <c r="GR71" s="303"/>
      <c r="GS71" s="303"/>
      <c r="GT71" s="303"/>
      <c r="GU71" s="303"/>
      <c r="GV71" s="303"/>
      <c r="GW71" s="303"/>
      <c r="GX71" s="303"/>
      <c r="GY71" s="303"/>
    </row>
    <row r="72" spans="1:207" s="639" customFormat="1">
      <c r="A72" s="368" t="s">
        <v>1028</v>
      </c>
      <c r="B72" s="701" t="s">
        <v>1034</v>
      </c>
      <c r="C72" s="633"/>
      <c r="D72" s="681"/>
      <c r="E72" s="19"/>
      <c r="F72" s="19"/>
      <c r="G72" s="19"/>
      <c r="H72" s="19"/>
      <c r="I72" s="1361">
        <v>539666.4</v>
      </c>
      <c r="J72" s="852"/>
      <c r="K72" s="827"/>
      <c r="L72" s="1384"/>
      <c r="M72" s="852">
        <v>15</v>
      </c>
      <c r="N72" s="827">
        <f t="shared" si="8"/>
        <v>6.666666666666667</v>
      </c>
      <c r="O72" s="828">
        <f t="shared" si="9"/>
        <v>35977.760000000002</v>
      </c>
      <c r="P72" s="1437"/>
      <c r="Q72" s="1437"/>
      <c r="R72" s="1437"/>
      <c r="S72" s="1437"/>
      <c r="T72" s="1437"/>
      <c r="U72" s="1437"/>
      <c r="V72" s="1437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3"/>
      <c r="BE72" s="303"/>
      <c r="BF72" s="303"/>
      <c r="BG72" s="303"/>
      <c r="BH72" s="303"/>
      <c r="BI72" s="303"/>
      <c r="BJ72" s="303"/>
      <c r="BK72" s="303"/>
      <c r="BL72" s="303"/>
      <c r="BM72" s="303"/>
      <c r="BN72" s="303"/>
      <c r="BO72" s="303"/>
      <c r="BP72" s="303"/>
      <c r="BQ72" s="303"/>
      <c r="BR72" s="303"/>
      <c r="BS72" s="303"/>
      <c r="BT72" s="303"/>
      <c r="BU72" s="303"/>
      <c r="BV72" s="303"/>
      <c r="BW72" s="303"/>
      <c r="BX72" s="303"/>
      <c r="BY72" s="303"/>
      <c r="BZ72" s="303"/>
      <c r="CA72" s="303"/>
      <c r="CB72" s="303"/>
      <c r="CC72" s="303"/>
      <c r="CD72" s="303"/>
      <c r="CE72" s="303"/>
      <c r="CF72" s="303"/>
      <c r="CG72" s="303"/>
      <c r="CH72" s="303"/>
      <c r="CI72" s="303"/>
      <c r="CJ72" s="303"/>
      <c r="CK72" s="303"/>
      <c r="CL72" s="303"/>
      <c r="CM72" s="303"/>
      <c r="CN72" s="303"/>
      <c r="CO72" s="303"/>
      <c r="CP72" s="303"/>
      <c r="CQ72" s="303"/>
      <c r="CR72" s="303"/>
      <c r="CS72" s="303"/>
      <c r="CT72" s="303"/>
      <c r="CU72" s="303"/>
      <c r="CV72" s="303"/>
      <c r="CW72" s="303"/>
      <c r="CX72" s="303"/>
      <c r="CY72" s="303"/>
      <c r="CZ72" s="303"/>
      <c r="DA72" s="303"/>
      <c r="DB72" s="303"/>
      <c r="DC72" s="303"/>
      <c r="DD72" s="303"/>
      <c r="DE72" s="303"/>
      <c r="DF72" s="303"/>
      <c r="DG72" s="303"/>
      <c r="DH72" s="303"/>
      <c r="DI72" s="303"/>
      <c r="DJ72" s="303"/>
      <c r="DK72" s="303"/>
      <c r="DL72" s="303"/>
      <c r="DM72" s="303"/>
      <c r="DN72" s="303"/>
      <c r="DO72" s="303"/>
      <c r="DP72" s="303"/>
      <c r="DQ72" s="303"/>
      <c r="DR72" s="303"/>
      <c r="DS72" s="303"/>
      <c r="DT72" s="303"/>
      <c r="DU72" s="303"/>
      <c r="DV72" s="303"/>
      <c r="DW72" s="303"/>
      <c r="DX72" s="303"/>
      <c r="DY72" s="303"/>
      <c r="DZ72" s="303"/>
      <c r="EA72" s="303"/>
      <c r="EB72" s="303"/>
      <c r="EC72" s="303"/>
      <c r="ED72" s="303"/>
      <c r="EE72" s="303"/>
      <c r="EF72" s="303"/>
      <c r="EG72" s="303"/>
      <c r="EH72" s="303"/>
      <c r="EI72" s="303"/>
      <c r="EJ72" s="303"/>
      <c r="EK72" s="303"/>
      <c r="EL72" s="303"/>
      <c r="EM72" s="303"/>
      <c r="EN72" s="303"/>
      <c r="EO72" s="303"/>
      <c r="EP72" s="303"/>
      <c r="EQ72" s="303"/>
      <c r="ER72" s="303"/>
      <c r="ES72" s="303"/>
      <c r="ET72" s="303"/>
      <c r="EU72" s="303"/>
      <c r="EV72" s="303"/>
      <c r="EW72" s="303"/>
      <c r="EX72" s="303"/>
      <c r="EY72" s="303"/>
      <c r="EZ72" s="303"/>
      <c r="FA72" s="303"/>
      <c r="FB72" s="303"/>
      <c r="FC72" s="303"/>
      <c r="FD72" s="303"/>
      <c r="FE72" s="303"/>
      <c r="FF72" s="303"/>
      <c r="FG72" s="303"/>
      <c r="FH72" s="303"/>
      <c r="FI72" s="303"/>
      <c r="FJ72" s="303"/>
      <c r="FK72" s="303"/>
      <c r="FL72" s="303"/>
      <c r="FM72" s="303"/>
      <c r="FN72" s="303"/>
      <c r="FO72" s="303"/>
      <c r="FP72" s="303"/>
      <c r="FQ72" s="303"/>
      <c r="FR72" s="303"/>
      <c r="FS72" s="303"/>
      <c r="FT72" s="303"/>
      <c r="FU72" s="303"/>
      <c r="FV72" s="303"/>
      <c r="FW72" s="303"/>
      <c r="FX72" s="303"/>
      <c r="FY72" s="303"/>
      <c r="FZ72" s="303"/>
      <c r="GA72" s="303"/>
      <c r="GB72" s="303"/>
      <c r="GC72" s="303"/>
      <c r="GD72" s="303"/>
      <c r="GE72" s="303"/>
      <c r="GF72" s="303"/>
      <c r="GG72" s="303"/>
      <c r="GH72" s="303"/>
      <c r="GI72" s="303"/>
      <c r="GJ72" s="303"/>
      <c r="GK72" s="303"/>
      <c r="GL72" s="303"/>
      <c r="GM72" s="303"/>
      <c r="GN72" s="303"/>
      <c r="GO72" s="303"/>
      <c r="GP72" s="303"/>
      <c r="GQ72" s="303"/>
      <c r="GR72" s="303"/>
      <c r="GS72" s="303"/>
      <c r="GT72" s="303"/>
      <c r="GU72" s="303"/>
      <c r="GV72" s="303"/>
      <c r="GW72" s="303"/>
      <c r="GX72" s="303"/>
      <c r="GY72" s="303"/>
    </row>
    <row r="73" spans="1:207" s="639" customFormat="1">
      <c r="A73" s="368" t="s">
        <v>1029</v>
      </c>
      <c r="B73" s="701" t="s">
        <v>1019</v>
      </c>
      <c r="C73" s="633"/>
      <c r="D73" s="681"/>
      <c r="E73" s="19"/>
      <c r="F73" s="19"/>
      <c r="G73" s="19"/>
      <c r="H73" s="19"/>
      <c r="I73" s="1361">
        <v>40325.033800000005</v>
      </c>
      <c r="J73" s="852"/>
      <c r="K73" s="827"/>
      <c r="L73" s="1384"/>
      <c r="M73" s="852">
        <v>31</v>
      </c>
      <c r="N73" s="827">
        <f t="shared" si="8"/>
        <v>3.225806451612903</v>
      </c>
      <c r="O73" s="828">
        <f t="shared" si="9"/>
        <v>1300.8075419354839</v>
      </c>
      <c r="P73" s="1437"/>
      <c r="Q73" s="1437"/>
      <c r="R73" s="1437"/>
      <c r="S73" s="1437"/>
      <c r="T73" s="1437"/>
      <c r="U73" s="1437"/>
      <c r="V73" s="1437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3"/>
      <c r="BF73" s="303"/>
      <c r="BG73" s="303"/>
      <c r="BH73" s="303"/>
      <c r="BI73" s="303"/>
      <c r="BJ73" s="303"/>
      <c r="BK73" s="303"/>
      <c r="BL73" s="303"/>
      <c r="BM73" s="303"/>
      <c r="BN73" s="303"/>
      <c r="BO73" s="303"/>
      <c r="BP73" s="303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303"/>
      <c r="CB73" s="303"/>
      <c r="CC73" s="303"/>
      <c r="CD73" s="303"/>
      <c r="CE73" s="303"/>
      <c r="CF73" s="303"/>
      <c r="CG73" s="303"/>
      <c r="CH73" s="303"/>
      <c r="CI73" s="303"/>
      <c r="CJ73" s="303"/>
      <c r="CK73" s="303"/>
      <c r="CL73" s="303"/>
      <c r="CM73" s="303"/>
      <c r="CN73" s="303"/>
      <c r="CO73" s="303"/>
      <c r="CP73" s="303"/>
      <c r="CQ73" s="303"/>
      <c r="CR73" s="303"/>
      <c r="CS73" s="303"/>
      <c r="CT73" s="303"/>
      <c r="CU73" s="303"/>
      <c r="CV73" s="303"/>
      <c r="CW73" s="303"/>
      <c r="CX73" s="303"/>
      <c r="CY73" s="303"/>
      <c r="CZ73" s="303"/>
      <c r="DA73" s="303"/>
      <c r="DB73" s="303"/>
      <c r="DC73" s="303"/>
      <c r="DD73" s="303"/>
      <c r="DE73" s="303"/>
      <c r="DF73" s="303"/>
      <c r="DG73" s="303"/>
      <c r="DH73" s="303"/>
      <c r="DI73" s="303"/>
      <c r="DJ73" s="303"/>
      <c r="DK73" s="303"/>
      <c r="DL73" s="303"/>
      <c r="DM73" s="303"/>
      <c r="DN73" s="303"/>
      <c r="DO73" s="303"/>
      <c r="DP73" s="303"/>
      <c r="DQ73" s="303"/>
      <c r="DR73" s="303"/>
      <c r="DS73" s="303"/>
      <c r="DT73" s="303"/>
      <c r="DU73" s="303"/>
      <c r="DV73" s="303"/>
      <c r="DW73" s="303"/>
      <c r="DX73" s="303"/>
      <c r="DY73" s="303"/>
      <c r="DZ73" s="303"/>
      <c r="EA73" s="303"/>
      <c r="EB73" s="303"/>
      <c r="EC73" s="303"/>
      <c r="ED73" s="303"/>
      <c r="EE73" s="303"/>
      <c r="EF73" s="303"/>
      <c r="EG73" s="303"/>
      <c r="EH73" s="303"/>
      <c r="EI73" s="303"/>
      <c r="EJ73" s="303"/>
      <c r="EK73" s="303"/>
      <c r="EL73" s="303"/>
      <c r="EM73" s="303"/>
      <c r="EN73" s="303"/>
      <c r="EO73" s="303"/>
      <c r="EP73" s="303"/>
      <c r="EQ73" s="303"/>
      <c r="ER73" s="303"/>
      <c r="ES73" s="303"/>
      <c r="ET73" s="303"/>
      <c r="EU73" s="303"/>
      <c r="EV73" s="303"/>
      <c r="EW73" s="303"/>
      <c r="EX73" s="303"/>
      <c r="EY73" s="303"/>
      <c r="EZ73" s="303"/>
      <c r="FA73" s="303"/>
      <c r="FB73" s="303"/>
      <c r="FC73" s="303"/>
      <c r="FD73" s="303"/>
      <c r="FE73" s="303"/>
      <c r="FF73" s="303"/>
      <c r="FG73" s="303"/>
      <c r="FH73" s="303"/>
      <c r="FI73" s="303"/>
      <c r="FJ73" s="303"/>
      <c r="FK73" s="303"/>
      <c r="FL73" s="303"/>
      <c r="FM73" s="303"/>
      <c r="FN73" s="303"/>
      <c r="FO73" s="303"/>
      <c r="FP73" s="303"/>
      <c r="FQ73" s="303"/>
      <c r="FR73" s="303"/>
      <c r="FS73" s="303"/>
      <c r="FT73" s="303"/>
      <c r="FU73" s="303"/>
      <c r="FV73" s="303"/>
      <c r="FW73" s="303"/>
      <c r="FX73" s="303"/>
      <c r="FY73" s="303"/>
      <c r="FZ73" s="303"/>
      <c r="GA73" s="303"/>
      <c r="GB73" s="303"/>
      <c r="GC73" s="303"/>
      <c r="GD73" s="303"/>
      <c r="GE73" s="303"/>
      <c r="GF73" s="303"/>
      <c r="GG73" s="303"/>
      <c r="GH73" s="303"/>
      <c r="GI73" s="303"/>
      <c r="GJ73" s="303"/>
      <c r="GK73" s="303"/>
      <c r="GL73" s="303"/>
      <c r="GM73" s="303"/>
      <c r="GN73" s="303"/>
      <c r="GO73" s="303"/>
      <c r="GP73" s="303"/>
      <c r="GQ73" s="303"/>
      <c r="GR73" s="303"/>
      <c r="GS73" s="303"/>
      <c r="GT73" s="303"/>
      <c r="GU73" s="303"/>
      <c r="GV73" s="303"/>
      <c r="GW73" s="303"/>
      <c r="GX73" s="303"/>
      <c r="GY73" s="303"/>
    </row>
    <row r="74" spans="1:207" s="639" customFormat="1">
      <c r="A74" s="368" t="s">
        <v>1030</v>
      </c>
      <c r="B74" s="701" t="s">
        <v>1035</v>
      </c>
      <c r="C74" s="633"/>
      <c r="D74" s="681"/>
      <c r="E74" s="19"/>
      <c r="F74" s="19"/>
      <c r="G74" s="19"/>
      <c r="H74" s="19"/>
      <c r="I74" s="1361">
        <f>112518.42*0</f>
        <v>0</v>
      </c>
      <c r="J74" s="852"/>
      <c r="K74" s="827"/>
      <c r="L74" s="1384"/>
      <c r="M74" s="852">
        <v>35</v>
      </c>
      <c r="N74" s="827">
        <f t="shared" si="8"/>
        <v>2.8571428571428572</v>
      </c>
      <c r="O74" s="828">
        <f t="shared" si="9"/>
        <v>0</v>
      </c>
      <c r="P74" s="1437"/>
      <c r="Q74" s="1437"/>
      <c r="R74" s="1437"/>
      <c r="S74" s="1437"/>
      <c r="T74" s="1437"/>
      <c r="U74" s="1437"/>
      <c r="V74" s="1437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  <c r="BK74" s="303"/>
      <c r="BL74" s="303"/>
      <c r="BM74" s="303"/>
      <c r="BN74" s="303"/>
      <c r="BO74" s="303"/>
      <c r="BP74" s="303"/>
      <c r="BQ74" s="303"/>
      <c r="BR74" s="303"/>
      <c r="BS74" s="303"/>
      <c r="BT74" s="303"/>
      <c r="BU74" s="303"/>
      <c r="BV74" s="303"/>
      <c r="BW74" s="303"/>
      <c r="BX74" s="303"/>
      <c r="BY74" s="303"/>
      <c r="BZ74" s="303"/>
      <c r="CA74" s="303"/>
      <c r="CB74" s="303"/>
      <c r="CC74" s="303"/>
      <c r="CD74" s="303"/>
      <c r="CE74" s="303"/>
      <c r="CF74" s="303"/>
      <c r="CG74" s="303"/>
      <c r="CH74" s="303"/>
      <c r="CI74" s="303"/>
      <c r="CJ74" s="303"/>
      <c r="CK74" s="303"/>
      <c r="CL74" s="303"/>
      <c r="CM74" s="303"/>
      <c r="CN74" s="303"/>
      <c r="CO74" s="303"/>
      <c r="CP74" s="303"/>
      <c r="CQ74" s="303"/>
      <c r="CR74" s="303"/>
      <c r="CS74" s="303"/>
      <c r="CT74" s="303"/>
      <c r="CU74" s="303"/>
      <c r="CV74" s="303"/>
      <c r="CW74" s="303"/>
      <c r="CX74" s="303"/>
      <c r="CY74" s="303"/>
      <c r="CZ74" s="303"/>
      <c r="DA74" s="303"/>
      <c r="DB74" s="303"/>
      <c r="DC74" s="303"/>
      <c r="DD74" s="303"/>
      <c r="DE74" s="303"/>
      <c r="DF74" s="303"/>
      <c r="DG74" s="303"/>
      <c r="DH74" s="303"/>
      <c r="DI74" s="303"/>
      <c r="DJ74" s="303"/>
      <c r="DK74" s="303"/>
      <c r="DL74" s="303"/>
      <c r="DM74" s="303"/>
      <c r="DN74" s="303"/>
      <c r="DO74" s="303"/>
      <c r="DP74" s="303"/>
      <c r="DQ74" s="303"/>
      <c r="DR74" s="303"/>
      <c r="DS74" s="303"/>
      <c r="DT74" s="303"/>
      <c r="DU74" s="303"/>
      <c r="DV74" s="303"/>
      <c r="DW74" s="303"/>
      <c r="DX74" s="303"/>
      <c r="DY74" s="303"/>
      <c r="DZ74" s="303"/>
      <c r="EA74" s="303"/>
      <c r="EB74" s="303"/>
      <c r="EC74" s="303"/>
      <c r="ED74" s="303"/>
      <c r="EE74" s="303"/>
      <c r="EF74" s="303"/>
      <c r="EG74" s="303"/>
      <c r="EH74" s="303"/>
      <c r="EI74" s="303"/>
      <c r="EJ74" s="303"/>
      <c r="EK74" s="303"/>
      <c r="EL74" s="303"/>
      <c r="EM74" s="303"/>
      <c r="EN74" s="303"/>
      <c r="EO74" s="303"/>
      <c r="EP74" s="303"/>
      <c r="EQ74" s="303"/>
      <c r="ER74" s="303"/>
      <c r="ES74" s="303"/>
      <c r="ET74" s="303"/>
      <c r="EU74" s="303"/>
      <c r="EV74" s="303"/>
      <c r="EW74" s="303"/>
      <c r="EX74" s="303"/>
      <c r="EY74" s="303"/>
      <c r="EZ74" s="303"/>
      <c r="FA74" s="303"/>
      <c r="FB74" s="303"/>
      <c r="FC74" s="303"/>
      <c r="FD74" s="303"/>
      <c r="FE74" s="303"/>
      <c r="FF74" s="303"/>
      <c r="FG74" s="303"/>
      <c r="FH74" s="303"/>
      <c r="FI74" s="303"/>
      <c r="FJ74" s="303"/>
      <c r="FK74" s="303"/>
      <c r="FL74" s="303"/>
      <c r="FM74" s="303"/>
      <c r="FN74" s="303"/>
      <c r="FO74" s="303"/>
      <c r="FP74" s="303"/>
      <c r="FQ74" s="303"/>
      <c r="FR74" s="303"/>
      <c r="FS74" s="303"/>
      <c r="FT74" s="303"/>
      <c r="FU74" s="303"/>
      <c r="FV74" s="303"/>
      <c r="FW74" s="303"/>
      <c r="FX74" s="303"/>
      <c r="FY74" s="303"/>
      <c r="FZ74" s="303"/>
      <c r="GA74" s="303"/>
      <c r="GB74" s="303"/>
      <c r="GC74" s="303"/>
      <c r="GD74" s="303"/>
      <c r="GE74" s="303"/>
      <c r="GF74" s="303"/>
      <c r="GG74" s="303"/>
      <c r="GH74" s="303"/>
      <c r="GI74" s="303"/>
      <c r="GJ74" s="303"/>
      <c r="GK74" s="303"/>
      <c r="GL74" s="303"/>
      <c r="GM74" s="303"/>
      <c r="GN74" s="303"/>
      <c r="GO74" s="303"/>
      <c r="GP74" s="303"/>
      <c r="GQ74" s="303"/>
      <c r="GR74" s="303"/>
      <c r="GS74" s="303"/>
      <c r="GT74" s="303"/>
      <c r="GU74" s="303"/>
      <c r="GV74" s="303"/>
      <c r="GW74" s="303"/>
      <c r="GX74" s="303"/>
      <c r="GY74" s="303"/>
    </row>
    <row r="75" spans="1:207" s="639" customFormat="1">
      <c r="A75" s="368" t="s">
        <v>1031</v>
      </c>
      <c r="B75" s="701" t="s">
        <v>1036</v>
      </c>
      <c r="C75" s="633"/>
      <c r="D75" s="681"/>
      <c r="E75" s="19"/>
      <c r="F75" s="19"/>
      <c r="G75" s="19"/>
      <c r="H75" s="19"/>
      <c r="I75" s="1361">
        <v>20000</v>
      </c>
      <c r="J75" s="852"/>
      <c r="K75" s="827"/>
      <c r="L75" s="1384"/>
      <c r="M75" s="852">
        <v>20</v>
      </c>
      <c r="N75" s="827">
        <f t="shared" si="8"/>
        <v>5</v>
      </c>
      <c r="O75" s="828">
        <f t="shared" si="9"/>
        <v>1000</v>
      </c>
      <c r="P75" s="1437"/>
      <c r="Q75" s="1437"/>
      <c r="R75" s="1437"/>
      <c r="S75" s="1437"/>
      <c r="T75" s="1437"/>
      <c r="U75" s="1437"/>
      <c r="V75" s="1437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  <c r="BK75" s="303"/>
      <c r="BL75" s="303"/>
      <c r="BM75" s="303"/>
      <c r="BN75" s="303"/>
      <c r="BO75" s="303"/>
      <c r="BP75" s="303"/>
      <c r="BQ75" s="303"/>
      <c r="BR75" s="303"/>
      <c r="BS75" s="303"/>
      <c r="BT75" s="303"/>
      <c r="BU75" s="303"/>
      <c r="BV75" s="303"/>
      <c r="BW75" s="303"/>
      <c r="BX75" s="303"/>
      <c r="BY75" s="303"/>
      <c r="BZ75" s="303"/>
      <c r="CA75" s="303"/>
      <c r="CB75" s="303"/>
      <c r="CC75" s="303"/>
      <c r="CD75" s="303"/>
      <c r="CE75" s="303"/>
      <c r="CF75" s="303"/>
      <c r="CG75" s="303"/>
      <c r="CH75" s="303"/>
      <c r="CI75" s="303"/>
      <c r="CJ75" s="303"/>
      <c r="CK75" s="303"/>
      <c r="CL75" s="303"/>
      <c r="CM75" s="303"/>
      <c r="CN75" s="303"/>
      <c r="CO75" s="303"/>
      <c r="CP75" s="303"/>
      <c r="CQ75" s="303"/>
      <c r="CR75" s="303"/>
      <c r="CS75" s="303"/>
      <c r="CT75" s="303"/>
      <c r="CU75" s="303"/>
      <c r="CV75" s="303"/>
      <c r="CW75" s="303"/>
      <c r="CX75" s="303"/>
      <c r="CY75" s="303"/>
      <c r="CZ75" s="303"/>
      <c r="DA75" s="303"/>
      <c r="DB75" s="303"/>
      <c r="DC75" s="303"/>
      <c r="DD75" s="303"/>
      <c r="DE75" s="303"/>
      <c r="DF75" s="303"/>
      <c r="DG75" s="303"/>
      <c r="DH75" s="303"/>
      <c r="DI75" s="303"/>
      <c r="DJ75" s="303"/>
      <c r="DK75" s="303"/>
      <c r="DL75" s="303"/>
      <c r="DM75" s="303"/>
      <c r="DN75" s="303"/>
      <c r="DO75" s="303"/>
      <c r="DP75" s="303"/>
      <c r="DQ75" s="303"/>
      <c r="DR75" s="303"/>
      <c r="DS75" s="303"/>
      <c r="DT75" s="303"/>
      <c r="DU75" s="303"/>
      <c r="DV75" s="303"/>
      <c r="DW75" s="303"/>
      <c r="DX75" s="303"/>
      <c r="DY75" s="303"/>
      <c r="DZ75" s="303"/>
      <c r="EA75" s="303"/>
      <c r="EB75" s="303"/>
      <c r="EC75" s="303"/>
      <c r="ED75" s="303"/>
      <c r="EE75" s="303"/>
      <c r="EF75" s="303"/>
      <c r="EG75" s="303"/>
      <c r="EH75" s="303"/>
      <c r="EI75" s="303"/>
      <c r="EJ75" s="303"/>
      <c r="EK75" s="303"/>
      <c r="EL75" s="303"/>
      <c r="EM75" s="303"/>
      <c r="EN75" s="303"/>
      <c r="EO75" s="303"/>
      <c r="EP75" s="303"/>
      <c r="EQ75" s="303"/>
      <c r="ER75" s="303"/>
      <c r="ES75" s="303"/>
      <c r="ET75" s="303"/>
      <c r="EU75" s="303"/>
      <c r="EV75" s="303"/>
      <c r="EW75" s="303"/>
      <c r="EX75" s="303"/>
      <c r="EY75" s="303"/>
      <c r="EZ75" s="303"/>
      <c r="FA75" s="303"/>
      <c r="FB75" s="303"/>
      <c r="FC75" s="303"/>
      <c r="FD75" s="303"/>
      <c r="FE75" s="303"/>
      <c r="FF75" s="303"/>
      <c r="FG75" s="303"/>
      <c r="FH75" s="303"/>
      <c r="FI75" s="303"/>
      <c r="FJ75" s="303"/>
      <c r="FK75" s="303"/>
      <c r="FL75" s="303"/>
      <c r="FM75" s="303"/>
      <c r="FN75" s="303"/>
      <c r="FO75" s="303"/>
      <c r="FP75" s="303"/>
      <c r="FQ75" s="303"/>
      <c r="FR75" s="303"/>
      <c r="FS75" s="303"/>
      <c r="FT75" s="303"/>
      <c r="FU75" s="303"/>
      <c r="FV75" s="303"/>
      <c r="FW75" s="303"/>
      <c r="FX75" s="303"/>
      <c r="FY75" s="303"/>
      <c r="FZ75" s="303"/>
      <c r="GA75" s="303"/>
      <c r="GB75" s="303"/>
      <c r="GC75" s="303"/>
      <c r="GD75" s="303"/>
      <c r="GE75" s="303"/>
      <c r="GF75" s="303"/>
      <c r="GG75" s="303"/>
      <c r="GH75" s="303"/>
      <c r="GI75" s="303"/>
      <c r="GJ75" s="303"/>
      <c r="GK75" s="303"/>
      <c r="GL75" s="303"/>
      <c r="GM75" s="303"/>
      <c r="GN75" s="303"/>
      <c r="GO75" s="303"/>
      <c r="GP75" s="303"/>
      <c r="GQ75" s="303"/>
      <c r="GR75" s="303"/>
      <c r="GS75" s="303"/>
      <c r="GT75" s="303"/>
      <c r="GU75" s="303"/>
      <c r="GV75" s="303"/>
      <c r="GW75" s="303"/>
      <c r="GX75" s="303"/>
      <c r="GY75" s="303"/>
    </row>
    <row r="76" spans="1:207" s="639" customFormat="1">
      <c r="A76" s="368" t="s">
        <v>1032</v>
      </c>
      <c r="B76" s="701" t="s">
        <v>1240</v>
      </c>
      <c r="C76" s="633"/>
      <c r="D76" s="681"/>
      <c r="E76" s="19"/>
      <c r="F76" s="19"/>
      <c r="G76" s="19"/>
      <c r="H76" s="19"/>
      <c r="I76" s="1361">
        <f>1628*75*0</f>
        <v>0</v>
      </c>
      <c r="J76" s="852"/>
      <c r="K76" s="827"/>
      <c r="L76" s="1384"/>
      <c r="M76" s="634">
        <v>15</v>
      </c>
      <c r="N76" s="827">
        <f t="shared" ref="N76:N84" si="10">100/M76</f>
        <v>6.666666666666667</v>
      </c>
      <c r="O76" s="828">
        <f t="shared" ref="O76:O83" si="11">I76*N76/100</f>
        <v>0</v>
      </c>
      <c r="P76" s="1437"/>
      <c r="Q76" s="1437"/>
      <c r="R76" s="1437"/>
      <c r="S76" s="1437"/>
      <c r="T76" s="1437"/>
      <c r="U76" s="1437"/>
      <c r="V76" s="1437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  <c r="BK76" s="303"/>
      <c r="BL76" s="303"/>
      <c r="BM76" s="303"/>
      <c r="BN76" s="303"/>
      <c r="BO76" s="303"/>
      <c r="BP76" s="303"/>
      <c r="BQ76" s="303"/>
      <c r="BR76" s="303"/>
      <c r="BS76" s="303"/>
      <c r="BT76" s="303"/>
      <c r="BU76" s="303"/>
      <c r="BV76" s="303"/>
      <c r="BW76" s="303"/>
      <c r="BX76" s="303"/>
      <c r="BY76" s="303"/>
      <c r="BZ76" s="303"/>
      <c r="CA76" s="303"/>
      <c r="CB76" s="303"/>
      <c r="CC76" s="303"/>
      <c r="CD76" s="303"/>
      <c r="CE76" s="303"/>
      <c r="CF76" s="303"/>
      <c r="CG76" s="303"/>
      <c r="CH76" s="303"/>
      <c r="CI76" s="303"/>
      <c r="CJ76" s="303"/>
      <c r="CK76" s="303"/>
      <c r="CL76" s="303"/>
      <c r="CM76" s="303"/>
      <c r="CN76" s="303"/>
      <c r="CO76" s="303"/>
      <c r="CP76" s="303"/>
      <c r="CQ76" s="303"/>
      <c r="CR76" s="303"/>
      <c r="CS76" s="303"/>
      <c r="CT76" s="303"/>
      <c r="CU76" s="303"/>
      <c r="CV76" s="303"/>
      <c r="CW76" s="303"/>
      <c r="CX76" s="303"/>
      <c r="CY76" s="303"/>
      <c r="CZ76" s="303"/>
      <c r="DA76" s="303"/>
      <c r="DB76" s="303"/>
      <c r="DC76" s="303"/>
      <c r="DD76" s="303"/>
      <c r="DE76" s="303"/>
      <c r="DF76" s="303"/>
      <c r="DG76" s="303"/>
      <c r="DH76" s="303"/>
      <c r="DI76" s="303"/>
      <c r="DJ76" s="303"/>
      <c r="DK76" s="303"/>
      <c r="DL76" s="303"/>
      <c r="DM76" s="303"/>
      <c r="DN76" s="303"/>
      <c r="DO76" s="303"/>
      <c r="DP76" s="303"/>
      <c r="DQ76" s="303"/>
      <c r="DR76" s="303"/>
      <c r="DS76" s="303"/>
      <c r="DT76" s="303"/>
      <c r="DU76" s="303"/>
      <c r="DV76" s="303"/>
      <c r="DW76" s="303"/>
      <c r="DX76" s="303"/>
      <c r="DY76" s="303"/>
      <c r="DZ76" s="303"/>
      <c r="EA76" s="303"/>
      <c r="EB76" s="303"/>
      <c r="EC76" s="303"/>
      <c r="ED76" s="303"/>
      <c r="EE76" s="303"/>
      <c r="EF76" s="303"/>
      <c r="EG76" s="303"/>
      <c r="EH76" s="303"/>
      <c r="EI76" s="303"/>
      <c r="EJ76" s="303"/>
      <c r="EK76" s="303"/>
      <c r="EL76" s="303"/>
      <c r="EM76" s="303"/>
      <c r="EN76" s="303"/>
      <c r="EO76" s="303"/>
      <c r="EP76" s="303"/>
      <c r="EQ76" s="303"/>
      <c r="ER76" s="303"/>
      <c r="ES76" s="303"/>
      <c r="ET76" s="303"/>
      <c r="EU76" s="303"/>
      <c r="EV76" s="303"/>
      <c r="EW76" s="303"/>
      <c r="EX76" s="303"/>
      <c r="EY76" s="303"/>
      <c r="EZ76" s="303"/>
      <c r="FA76" s="303"/>
      <c r="FB76" s="303"/>
      <c r="FC76" s="303"/>
      <c r="FD76" s="303"/>
      <c r="FE76" s="303"/>
      <c r="FF76" s="303"/>
      <c r="FG76" s="303"/>
      <c r="FH76" s="303"/>
      <c r="FI76" s="303"/>
      <c r="FJ76" s="303"/>
      <c r="FK76" s="303"/>
      <c r="FL76" s="303"/>
      <c r="FM76" s="303"/>
      <c r="FN76" s="303"/>
      <c r="FO76" s="303"/>
      <c r="FP76" s="303"/>
      <c r="FQ76" s="303"/>
      <c r="FR76" s="303"/>
      <c r="FS76" s="303"/>
      <c r="FT76" s="303"/>
      <c r="FU76" s="303"/>
      <c r="FV76" s="303"/>
      <c r="FW76" s="303"/>
      <c r="FX76" s="303"/>
      <c r="FY76" s="303"/>
      <c r="FZ76" s="303"/>
      <c r="GA76" s="303"/>
      <c r="GB76" s="303"/>
      <c r="GC76" s="303"/>
      <c r="GD76" s="303"/>
      <c r="GE76" s="303"/>
      <c r="GF76" s="303"/>
      <c r="GG76" s="303"/>
      <c r="GH76" s="303"/>
      <c r="GI76" s="303"/>
      <c r="GJ76" s="303"/>
      <c r="GK76" s="303"/>
      <c r="GL76" s="303"/>
      <c r="GM76" s="303"/>
      <c r="GN76" s="303"/>
      <c r="GO76" s="303"/>
      <c r="GP76" s="303"/>
      <c r="GQ76" s="303"/>
      <c r="GR76" s="303"/>
      <c r="GS76" s="303"/>
      <c r="GT76" s="303"/>
      <c r="GU76" s="303"/>
      <c r="GV76" s="303"/>
      <c r="GW76" s="303"/>
      <c r="GX76" s="303"/>
      <c r="GY76" s="303"/>
    </row>
    <row r="77" spans="1:207" s="639" customFormat="1">
      <c r="A77" s="368" t="s">
        <v>1209</v>
      </c>
      <c r="B77" s="701" t="s">
        <v>1234</v>
      </c>
      <c r="C77" s="633"/>
      <c r="D77" s="681"/>
      <c r="E77" s="19"/>
      <c r="F77" s="19"/>
      <c r="G77" s="19"/>
      <c r="H77" s="19"/>
      <c r="I77" s="1361">
        <f>5000*20*50%</f>
        <v>50000</v>
      </c>
      <c r="J77" s="852"/>
      <c r="K77" s="827"/>
      <c r="L77" s="1384"/>
      <c r="M77" s="634">
        <v>20</v>
      </c>
      <c r="N77" s="827">
        <f t="shared" si="10"/>
        <v>5</v>
      </c>
      <c r="O77" s="828">
        <f t="shared" si="11"/>
        <v>2500</v>
      </c>
      <c r="P77" s="1437"/>
      <c r="Q77" s="1437"/>
      <c r="R77" s="1437"/>
      <c r="S77" s="1437"/>
      <c r="T77" s="1437"/>
      <c r="U77" s="1437"/>
      <c r="V77" s="1437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  <c r="BK77" s="303"/>
      <c r="BL77" s="303"/>
      <c r="BM77" s="303"/>
      <c r="BN77" s="303"/>
      <c r="BO77" s="303"/>
      <c r="BP77" s="303"/>
      <c r="BQ77" s="303"/>
      <c r="BR77" s="303"/>
      <c r="BS77" s="303"/>
      <c r="BT77" s="303"/>
      <c r="BU77" s="303"/>
      <c r="BV77" s="303"/>
      <c r="BW77" s="303"/>
      <c r="BX77" s="303"/>
      <c r="BY77" s="303"/>
      <c r="BZ77" s="303"/>
      <c r="CA77" s="303"/>
      <c r="CB77" s="303"/>
      <c r="CC77" s="303"/>
      <c r="CD77" s="303"/>
      <c r="CE77" s="303"/>
      <c r="CF77" s="303"/>
      <c r="CG77" s="303"/>
      <c r="CH77" s="303"/>
      <c r="CI77" s="303"/>
      <c r="CJ77" s="303"/>
      <c r="CK77" s="303"/>
      <c r="CL77" s="303"/>
      <c r="CM77" s="303"/>
      <c r="CN77" s="303"/>
      <c r="CO77" s="303"/>
      <c r="CP77" s="303"/>
      <c r="CQ77" s="303"/>
      <c r="CR77" s="303"/>
      <c r="CS77" s="303"/>
      <c r="CT77" s="303"/>
      <c r="CU77" s="303"/>
      <c r="CV77" s="303"/>
      <c r="CW77" s="303"/>
      <c r="CX77" s="303"/>
      <c r="CY77" s="303"/>
      <c r="CZ77" s="303"/>
      <c r="DA77" s="303"/>
      <c r="DB77" s="303"/>
      <c r="DC77" s="303"/>
      <c r="DD77" s="303"/>
      <c r="DE77" s="303"/>
      <c r="DF77" s="303"/>
      <c r="DG77" s="303"/>
      <c r="DH77" s="303"/>
      <c r="DI77" s="303"/>
      <c r="DJ77" s="303"/>
      <c r="DK77" s="303"/>
      <c r="DL77" s="303"/>
      <c r="DM77" s="303"/>
      <c r="DN77" s="303"/>
      <c r="DO77" s="303"/>
      <c r="DP77" s="303"/>
      <c r="DQ77" s="303"/>
      <c r="DR77" s="303"/>
      <c r="DS77" s="303"/>
      <c r="DT77" s="303"/>
      <c r="DU77" s="303"/>
      <c r="DV77" s="303"/>
      <c r="DW77" s="303"/>
      <c r="DX77" s="303"/>
      <c r="DY77" s="303"/>
      <c r="DZ77" s="303"/>
      <c r="EA77" s="303"/>
      <c r="EB77" s="303"/>
      <c r="EC77" s="303"/>
      <c r="ED77" s="303"/>
      <c r="EE77" s="303"/>
      <c r="EF77" s="303"/>
      <c r="EG77" s="303"/>
      <c r="EH77" s="303"/>
      <c r="EI77" s="303"/>
      <c r="EJ77" s="303"/>
      <c r="EK77" s="303"/>
      <c r="EL77" s="303"/>
      <c r="EM77" s="303"/>
      <c r="EN77" s="303"/>
      <c r="EO77" s="303"/>
      <c r="EP77" s="303"/>
      <c r="EQ77" s="303"/>
      <c r="ER77" s="303"/>
      <c r="ES77" s="303"/>
      <c r="ET77" s="303"/>
      <c r="EU77" s="303"/>
      <c r="EV77" s="303"/>
      <c r="EW77" s="303"/>
      <c r="EX77" s="303"/>
      <c r="EY77" s="303"/>
      <c r="EZ77" s="303"/>
      <c r="FA77" s="303"/>
      <c r="FB77" s="303"/>
      <c r="FC77" s="303"/>
      <c r="FD77" s="303"/>
      <c r="FE77" s="303"/>
      <c r="FF77" s="303"/>
      <c r="FG77" s="303"/>
      <c r="FH77" s="303"/>
      <c r="FI77" s="303"/>
      <c r="FJ77" s="303"/>
      <c r="FK77" s="303"/>
      <c r="FL77" s="303"/>
      <c r="FM77" s="303"/>
      <c r="FN77" s="303"/>
      <c r="FO77" s="303"/>
      <c r="FP77" s="303"/>
      <c r="FQ77" s="303"/>
      <c r="FR77" s="303"/>
      <c r="FS77" s="303"/>
      <c r="FT77" s="303"/>
      <c r="FU77" s="303"/>
      <c r="FV77" s="303"/>
      <c r="FW77" s="303"/>
      <c r="FX77" s="303"/>
      <c r="FY77" s="303"/>
      <c r="FZ77" s="303"/>
      <c r="GA77" s="303"/>
      <c r="GB77" s="303"/>
      <c r="GC77" s="303"/>
      <c r="GD77" s="303"/>
      <c r="GE77" s="303"/>
      <c r="GF77" s="303"/>
      <c r="GG77" s="303"/>
      <c r="GH77" s="303"/>
      <c r="GI77" s="303"/>
      <c r="GJ77" s="303"/>
      <c r="GK77" s="303"/>
      <c r="GL77" s="303"/>
      <c r="GM77" s="303"/>
      <c r="GN77" s="303"/>
      <c r="GO77" s="303"/>
      <c r="GP77" s="303"/>
      <c r="GQ77" s="303"/>
      <c r="GR77" s="303"/>
      <c r="GS77" s="303"/>
      <c r="GT77" s="303"/>
      <c r="GU77" s="303"/>
      <c r="GV77" s="303"/>
      <c r="GW77" s="303"/>
      <c r="GX77" s="303"/>
      <c r="GY77" s="303"/>
    </row>
    <row r="78" spans="1:207" s="639" customFormat="1">
      <c r="A78" s="368" t="s">
        <v>1210</v>
      </c>
      <c r="B78" s="701" t="s">
        <v>1230</v>
      </c>
      <c r="C78" s="633"/>
      <c r="D78" s="681"/>
      <c r="E78" s="19"/>
      <c r="F78" s="19"/>
      <c r="G78" s="19"/>
      <c r="H78" s="19"/>
      <c r="I78" s="1361">
        <f>1628*400*0+200000</f>
        <v>200000</v>
      </c>
      <c r="J78" s="852"/>
      <c r="K78" s="827"/>
      <c r="L78" s="1384"/>
      <c r="M78" s="634">
        <v>15</v>
      </c>
      <c r="N78" s="827">
        <f t="shared" si="10"/>
        <v>6.666666666666667</v>
      </c>
      <c r="O78" s="828">
        <f t="shared" si="11"/>
        <v>13333.333333333336</v>
      </c>
      <c r="P78" s="1437"/>
      <c r="Q78" s="1437"/>
      <c r="R78" s="1437"/>
      <c r="S78" s="1437"/>
      <c r="T78" s="1437"/>
      <c r="U78" s="1437"/>
      <c r="V78" s="1437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  <c r="BK78" s="303"/>
      <c r="BL78" s="303"/>
      <c r="BM78" s="303"/>
      <c r="BN78" s="303"/>
      <c r="BO78" s="303"/>
      <c r="BP78" s="303"/>
      <c r="BQ78" s="303"/>
      <c r="BR78" s="303"/>
      <c r="BS78" s="303"/>
      <c r="BT78" s="303"/>
      <c r="BU78" s="303"/>
      <c r="BV78" s="303"/>
      <c r="BW78" s="303"/>
      <c r="BX78" s="303"/>
      <c r="BY78" s="303"/>
      <c r="BZ78" s="303"/>
      <c r="CA78" s="303"/>
      <c r="CB78" s="303"/>
      <c r="CC78" s="303"/>
      <c r="CD78" s="303"/>
      <c r="CE78" s="303"/>
      <c r="CF78" s="303"/>
      <c r="CG78" s="303"/>
      <c r="CH78" s="303"/>
      <c r="CI78" s="303"/>
      <c r="CJ78" s="303"/>
      <c r="CK78" s="303"/>
      <c r="CL78" s="303"/>
      <c r="CM78" s="303"/>
      <c r="CN78" s="303"/>
      <c r="CO78" s="303"/>
      <c r="CP78" s="303"/>
      <c r="CQ78" s="303"/>
      <c r="CR78" s="303"/>
      <c r="CS78" s="303"/>
      <c r="CT78" s="303"/>
      <c r="CU78" s="303"/>
      <c r="CV78" s="303"/>
      <c r="CW78" s="303"/>
      <c r="CX78" s="303"/>
      <c r="CY78" s="303"/>
      <c r="CZ78" s="303"/>
      <c r="DA78" s="303"/>
      <c r="DB78" s="303"/>
      <c r="DC78" s="303"/>
      <c r="DD78" s="303"/>
      <c r="DE78" s="303"/>
      <c r="DF78" s="303"/>
      <c r="DG78" s="303"/>
      <c r="DH78" s="303"/>
      <c r="DI78" s="303"/>
      <c r="DJ78" s="303"/>
      <c r="DK78" s="303"/>
      <c r="DL78" s="303"/>
      <c r="DM78" s="303"/>
      <c r="DN78" s="303"/>
      <c r="DO78" s="303"/>
      <c r="DP78" s="303"/>
      <c r="DQ78" s="303"/>
      <c r="DR78" s="303"/>
      <c r="DS78" s="303"/>
      <c r="DT78" s="303"/>
      <c r="DU78" s="303"/>
      <c r="DV78" s="303"/>
      <c r="DW78" s="303"/>
      <c r="DX78" s="303"/>
      <c r="DY78" s="303"/>
      <c r="DZ78" s="303"/>
      <c r="EA78" s="303"/>
      <c r="EB78" s="303"/>
      <c r="EC78" s="303"/>
      <c r="ED78" s="303"/>
      <c r="EE78" s="303"/>
      <c r="EF78" s="303"/>
      <c r="EG78" s="303"/>
      <c r="EH78" s="303"/>
      <c r="EI78" s="303"/>
      <c r="EJ78" s="303"/>
      <c r="EK78" s="303"/>
      <c r="EL78" s="303"/>
      <c r="EM78" s="303"/>
      <c r="EN78" s="303"/>
      <c r="EO78" s="303"/>
      <c r="EP78" s="303"/>
      <c r="EQ78" s="303"/>
      <c r="ER78" s="303"/>
      <c r="ES78" s="303"/>
      <c r="ET78" s="303"/>
      <c r="EU78" s="303"/>
      <c r="EV78" s="303"/>
      <c r="EW78" s="303"/>
      <c r="EX78" s="303"/>
      <c r="EY78" s="303"/>
      <c r="EZ78" s="303"/>
      <c r="FA78" s="303"/>
      <c r="FB78" s="303"/>
      <c r="FC78" s="303"/>
      <c r="FD78" s="303"/>
      <c r="FE78" s="303"/>
      <c r="FF78" s="303"/>
      <c r="FG78" s="303"/>
      <c r="FH78" s="303"/>
      <c r="FI78" s="303"/>
      <c r="FJ78" s="303"/>
      <c r="FK78" s="303"/>
      <c r="FL78" s="303"/>
      <c r="FM78" s="303"/>
      <c r="FN78" s="303"/>
      <c r="FO78" s="303"/>
      <c r="FP78" s="303"/>
      <c r="FQ78" s="303"/>
      <c r="FR78" s="303"/>
      <c r="FS78" s="303"/>
      <c r="FT78" s="303"/>
      <c r="FU78" s="303"/>
      <c r="FV78" s="303"/>
      <c r="FW78" s="303"/>
      <c r="FX78" s="303"/>
      <c r="FY78" s="303"/>
      <c r="FZ78" s="303"/>
      <c r="GA78" s="303"/>
      <c r="GB78" s="303"/>
      <c r="GC78" s="303"/>
      <c r="GD78" s="303"/>
      <c r="GE78" s="303"/>
      <c r="GF78" s="303"/>
      <c r="GG78" s="303"/>
      <c r="GH78" s="303"/>
      <c r="GI78" s="303"/>
      <c r="GJ78" s="303"/>
      <c r="GK78" s="303"/>
      <c r="GL78" s="303"/>
      <c r="GM78" s="303"/>
      <c r="GN78" s="303"/>
      <c r="GO78" s="303"/>
      <c r="GP78" s="303"/>
      <c r="GQ78" s="303"/>
      <c r="GR78" s="303"/>
      <c r="GS78" s="303"/>
      <c r="GT78" s="303"/>
      <c r="GU78" s="303"/>
      <c r="GV78" s="303"/>
      <c r="GW78" s="303"/>
      <c r="GX78" s="303"/>
      <c r="GY78" s="303"/>
    </row>
    <row r="79" spans="1:207" s="639" customFormat="1">
      <c r="A79" s="368" t="s">
        <v>1211</v>
      </c>
      <c r="B79" s="701" t="s">
        <v>1231</v>
      </c>
      <c r="C79" s="633"/>
      <c r="D79" s="681"/>
      <c r="E79" s="19"/>
      <c r="F79" s="19"/>
      <c r="G79" s="19"/>
      <c r="H79" s="19"/>
      <c r="I79" s="1361">
        <f>1628*300*0.5</f>
        <v>244200</v>
      </c>
      <c r="J79" s="852"/>
      <c r="K79" s="827"/>
      <c r="L79" s="1384"/>
      <c r="M79" s="634">
        <v>15</v>
      </c>
      <c r="N79" s="827">
        <f t="shared" si="10"/>
        <v>6.666666666666667</v>
      </c>
      <c r="O79" s="828">
        <f t="shared" si="11"/>
        <v>16280</v>
      </c>
      <c r="P79" s="1437"/>
      <c r="Q79" s="1437"/>
      <c r="R79" s="1437"/>
      <c r="S79" s="1437"/>
      <c r="T79" s="1437"/>
      <c r="U79" s="1437"/>
      <c r="V79" s="1437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  <c r="BK79" s="303"/>
      <c r="BL79" s="303"/>
      <c r="BM79" s="303"/>
      <c r="BN79" s="303"/>
      <c r="BO79" s="303"/>
      <c r="BP79" s="303"/>
      <c r="BQ79" s="303"/>
      <c r="BR79" s="303"/>
      <c r="BS79" s="303"/>
      <c r="BT79" s="303"/>
      <c r="BU79" s="303"/>
      <c r="BV79" s="303"/>
      <c r="BW79" s="303"/>
      <c r="BX79" s="303"/>
      <c r="BY79" s="303"/>
      <c r="BZ79" s="303"/>
      <c r="CA79" s="303"/>
      <c r="CB79" s="303"/>
      <c r="CC79" s="303"/>
      <c r="CD79" s="303"/>
      <c r="CE79" s="303"/>
      <c r="CF79" s="303"/>
      <c r="CG79" s="303"/>
      <c r="CH79" s="303"/>
      <c r="CI79" s="303"/>
      <c r="CJ79" s="303"/>
      <c r="CK79" s="303"/>
      <c r="CL79" s="303"/>
      <c r="CM79" s="303"/>
      <c r="CN79" s="303"/>
      <c r="CO79" s="303"/>
      <c r="CP79" s="303"/>
      <c r="CQ79" s="303"/>
      <c r="CR79" s="303"/>
      <c r="CS79" s="303"/>
      <c r="CT79" s="303"/>
      <c r="CU79" s="303"/>
      <c r="CV79" s="303"/>
      <c r="CW79" s="303"/>
      <c r="CX79" s="303"/>
      <c r="CY79" s="303"/>
      <c r="CZ79" s="303"/>
      <c r="DA79" s="303"/>
      <c r="DB79" s="303"/>
      <c r="DC79" s="303"/>
      <c r="DD79" s="303"/>
      <c r="DE79" s="303"/>
      <c r="DF79" s="303"/>
      <c r="DG79" s="303"/>
      <c r="DH79" s="303"/>
      <c r="DI79" s="303"/>
      <c r="DJ79" s="303"/>
      <c r="DK79" s="303"/>
      <c r="DL79" s="303"/>
      <c r="DM79" s="303"/>
      <c r="DN79" s="303"/>
      <c r="DO79" s="303"/>
      <c r="DP79" s="303"/>
      <c r="DQ79" s="303"/>
      <c r="DR79" s="303"/>
      <c r="DS79" s="303"/>
      <c r="DT79" s="303"/>
      <c r="DU79" s="303"/>
      <c r="DV79" s="303"/>
      <c r="DW79" s="303"/>
      <c r="DX79" s="303"/>
      <c r="DY79" s="303"/>
      <c r="DZ79" s="303"/>
      <c r="EA79" s="303"/>
      <c r="EB79" s="303"/>
      <c r="EC79" s="303"/>
      <c r="ED79" s="303"/>
      <c r="EE79" s="303"/>
      <c r="EF79" s="303"/>
      <c r="EG79" s="303"/>
      <c r="EH79" s="303"/>
      <c r="EI79" s="303"/>
      <c r="EJ79" s="303"/>
      <c r="EK79" s="303"/>
      <c r="EL79" s="303"/>
      <c r="EM79" s="303"/>
      <c r="EN79" s="303"/>
      <c r="EO79" s="303"/>
      <c r="EP79" s="303"/>
      <c r="EQ79" s="303"/>
      <c r="ER79" s="303"/>
      <c r="ES79" s="303"/>
      <c r="ET79" s="303"/>
      <c r="EU79" s="303"/>
      <c r="EV79" s="303"/>
      <c r="EW79" s="303"/>
      <c r="EX79" s="303"/>
      <c r="EY79" s="303"/>
      <c r="EZ79" s="303"/>
      <c r="FA79" s="303"/>
      <c r="FB79" s="303"/>
      <c r="FC79" s="303"/>
      <c r="FD79" s="303"/>
      <c r="FE79" s="303"/>
      <c r="FF79" s="303"/>
      <c r="FG79" s="303"/>
      <c r="FH79" s="303"/>
      <c r="FI79" s="303"/>
      <c r="FJ79" s="303"/>
      <c r="FK79" s="303"/>
      <c r="FL79" s="303"/>
      <c r="FM79" s="303"/>
      <c r="FN79" s="303"/>
      <c r="FO79" s="303"/>
      <c r="FP79" s="303"/>
      <c r="FQ79" s="303"/>
      <c r="FR79" s="303"/>
      <c r="FS79" s="303"/>
      <c r="FT79" s="303"/>
      <c r="FU79" s="303"/>
      <c r="FV79" s="303"/>
      <c r="FW79" s="303"/>
      <c r="FX79" s="303"/>
      <c r="FY79" s="303"/>
      <c r="FZ79" s="303"/>
      <c r="GA79" s="303"/>
      <c r="GB79" s="303"/>
      <c r="GC79" s="303"/>
      <c r="GD79" s="303"/>
      <c r="GE79" s="303"/>
      <c r="GF79" s="303"/>
      <c r="GG79" s="303"/>
      <c r="GH79" s="303"/>
      <c r="GI79" s="303"/>
      <c r="GJ79" s="303"/>
      <c r="GK79" s="303"/>
      <c r="GL79" s="303"/>
      <c r="GM79" s="303"/>
      <c r="GN79" s="303"/>
      <c r="GO79" s="303"/>
      <c r="GP79" s="303"/>
      <c r="GQ79" s="303"/>
      <c r="GR79" s="303"/>
      <c r="GS79" s="303"/>
      <c r="GT79" s="303"/>
      <c r="GU79" s="303"/>
      <c r="GV79" s="303"/>
      <c r="GW79" s="303"/>
      <c r="GX79" s="303"/>
      <c r="GY79" s="303"/>
    </row>
    <row r="80" spans="1:207" s="639" customFormat="1">
      <c r="A80" s="368" t="s">
        <v>1212</v>
      </c>
      <c r="B80" s="701" t="s">
        <v>1232</v>
      </c>
      <c r="C80" s="633"/>
      <c r="D80" s="681"/>
      <c r="E80" s="19"/>
      <c r="F80" s="19"/>
      <c r="G80" s="19"/>
      <c r="H80" s="19"/>
      <c r="I80" s="1361">
        <f>70000*1.4*0</f>
        <v>0</v>
      </c>
      <c r="J80" s="852"/>
      <c r="K80" s="827"/>
      <c r="L80" s="1384"/>
      <c r="M80" s="634">
        <v>15</v>
      </c>
      <c r="N80" s="827">
        <f t="shared" si="10"/>
        <v>6.666666666666667</v>
      </c>
      <c r="O80" s="828">
        <f t="shared" si="11"/>
        <v>0</v>
      </c>
      <c r="P80" s="1437"/>
      <c r="Q80" s="1437"/>
      <c r="R80" s="1437"/>
      <c r="S80" s="1437"/>
      <c r="T80" s="1437"/>
      <c r="U80" s="1437"/>
      <c r="V80" s="1437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  <c r="BK80" s="303"/>
      <c r="BL80" s="303"/>
      <c r="BM80" s="303"/>
      <c r="BN80" s="303"/>
      <c r="BO80" s="303"/>
      <c r="BP80" s="303"/>
      <c r="BQ80" s="303"/>
      <c r="BR80" s="303"/>
      <c r="BS80" s="303"/>
      <c r="BT80" s="303"/>
      <c r="BU80" s="303"/>
      <c r="BV80" s="303"/>
      <c r="BW80" s="303"/>
      <c r="BX80" s="303"/>
      <c r="BY80" s="303"/>
      <c r="BZ80" s="303"/>
      <c r="CA80" s="303"/>
      <c r="CB80" s="303"/>
      <c r="CC80" s="303"/>
      <c r="CD80" s="303"/>
      <c r="CE80" s="303"/>
      <c r="CF80" s="303"/>
      <c r="CG80" s="303"/>
      <c r="CH80" s="303"/>
      <c r="CI80" s="303"/>
      <c r="CJ80" s="303"/>
      <c r="CK80" s="303"/>
      <c r="CL80" s="303"/>
      <c r="CM80" s="303"/>
      <c r="CN80" s="303"/>
      <c r="CO80" s="303"/>
      <c r="CP80" s="303"/>
      <c r="CQ80" s="303"/>
      <c r="CR80" s="303"/>
      <c r="CS80" s="303"/>
      <c r="CT80" s="303"/>
      <c r="CU80" s="303"/>
      <c r="CV80" s="303"/>
      <c r="CW80" s="303"/>
      <c r="CX80" s="303"/>
      <c r="CY80" s="303"/>
      <c r="CZ80" s="303"/>
      <c r="DA80" s="303"/>
      <c r="DB80" s="303"/>
      <c r="DC80" s="303"/>
      <c r="DD80" s="303"/>
      <c r="DE80" s="303"/>
      <c r="DF80" s="303"/>
      <c r="DG80" s="303"/>
      <c r="DH80" s="303"/>
      <c r="DI80" s="303"/>
      <c r="DJ80" s="303"/>
      <c r="DK80" s="303"/>
      <c r="DL80" s="303"/>
      <c r="DM80" s="303"/>
      <c r="DN80" s="303"/>
      <c r="DO80" s="303"/>
      <c r="DP80" s="303"/>
      <c r="DQ80" s="303"/>
      <c r="DR80" s="303"/>
      <c r="DS80" s="303"/>
      <c r="DT80" s="303"/>
      <c r="DU80" s="303"/>
      <c r="DV80" s="303"/>
      <c r="DW80" s="303"/>
      <c r="DX80" s="303"/>
      <c r="DY80" s="303"/>
      <c r="DZ80" s="303"/>
      <c r="EA80" s="303"/>
      <c r="EB80" s="303"/>
      <c r="EC80" s="303"/>
      <c r="ED80" s="303"/>
      <c r="EE80" s="303"/>
      <c r="EF80" s="303"/>
      <c r="EG80" s="303"/>
      <c r="EH80" s="303"/>
      <c r="EI80" s="303"/>
      <c r="EJ80" s="303"/>
      <c r="EK80" s="303"/>
      <c r="EL80" s="303"/>
      <c r="EM80" s="303"/>
      <c r="EN80" s="303"/>
      <c r="EO80" s="303"/>
      <c r="EP80" s="303"/>
      <c r="EQ80" s="303"/>
      <c r="ER80" s="303"/>
      <c r="ES80" s="303"/>
      <c r="ET80" s="303"/>
      <c r="EU80" s="303"/>
      <c r="EV80" s="303"/>
      <c r="EW80" s="303"/>
      <c r="EX80" s="303"/>
      <c r="EY80" s="303"/>
      <c r="EZ80" s="303"/>
      <c r="FA80" s="303"/>
      <c r="FB80" s="303"/>
      <c r="FC80" s="303"/>
      <c r="FD80" s="303"/>
      <c r="FE80" s="303"/>
      <c r="FF80" s="303"/>
      <c r="FG80" s="303"/>
      <c r="FH80" s="303"/>
      <c r="FI80" s="303"/>
      <c r="FJ80" s="303"/>
      <c r="FK80" s="303"/>
      <c r="FL80" s="303"/>
      <c r="FM80" s="303"/>
      <c r="FN80" s="303"/>
      <c r="FO80" s="303"/>
      <c r="FP80" s="303"/>
      <c r="FQ80" s="303"/>
      <c r="FR80" s="303"/>
      <c r="FS80" s="303"/>
      <c r="FT80" s="303"/>
      <c r="FU80" s="303"/>
      <c r="FV80" s="303"/>
      <c r="FW80" s="303"/>
      <c r="FX80" s="303"/>
      <c r="FY80" s="303"/>
      <c r="FZ80" s="303"/>
      <c r="GA80" s="303"/>
      <c r="GB80" s="303"/>
      <c r="GC80" s="303"/>
      <c r="GD80" s="303"/>
      <c r="GE80" s="303"/>
      <c r="GF80" s="303"/>
      <c r="GG80" s="303"/>
      <c r="GH80" s="303"/>
      <c r="GI80" s="303"/>
      <c r="GJ80" s="303"/>
      <c r="GK80" s="303"/>
      <c r="GL80" s="303"/>
      <c r="GM80" s="303"/>
      <c r="GN80" s="303"/>
      <c r="GO80" s="303"/>
      <c r="GP80" s="303"/>
      <c r="GQ80" s="303"/>
      <c r="GR80" s="303"/>
      <c r="GS80" s="303"/>
      <c r="GT80" s="303"/>
      <c r="GU80" s="303"/>
      <c r="GV80" s="303"/>
      <c r="GW80" s="303"/>
      <c r="GX80" s="303"/>
      <c r="GY80" s="303"/>
    </row>
    <row r="81" spans="1:207" s="639" customFormat="1">
      <c r="A81" s="368" t="s">
        <v>1213</v>
      </c>
      <c r="B81" s="701" t="s">
        <v>1241</v>
      </c>
      <c r="C81" s="633"/>
      <c r="D81" s="681"/>
      <c r="E81" s="19"/>
      <c r="F81" s="19"/>
      <c r="G81" s="19"/>
      <c r="H81" s="19"/>
      <c r="I81" s="1361">
        <f>35000*6*1*2/3</f>
        <v>140000</v>
      </c>
      <c r="J81" s="852"/>
      <c r="K81" s="827"/>
      <c r="L81" s="1384"/>
      <c r="M81" s="634">
        <v>15</v>
      </c>
      <c r="N81" s="827">
        <f t="shared" si="10"/>
        <v>6.666666666666667</v>
      </c>
      <c r="O81" s="828">
        <f t="shared" si="11"/>
        <v>9333.3333333333339</v>
      </c>
      <c r="P81" s="1437"/>
      <c r="Q81" s="1437"/>
      <c r="R81" s="1437"/>
      <c r="S81" s="1437"/>
      <c r="T81" s="1437"/>
      <c r="U81" s="1437"/>
      <c r="V81" s="1437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  <c r="BK81" s="303"/>
      <c r="BL81" s="303"/>
      <c r="BM81" s="303"/>
      <c r="BN81" s="303"/>
      <c r="BO81" s="303"/>
      <c r="BP81" s="303"/>
      <c r="BQ81" s="303"/>
      <c r="BR81" s="303"/>
      <c r="BS81" s="303"/>
      <c r="BT81" s="303"/>
      <c r="BU81" s="303"/>
      <c r="BV81" s="303"/>
      <c r="BW81" s="303"/>
      <c r="BX81" s="303"/>
      <c r="BY81" s="303"/>
      <c r="BZ81" s="303"/>
      <c r="CA81" s="303"/>
      <c r="CB81" s="303"/>
      <c r="CC81" s="303"/>
      <c r="CD81" s="303"/>
      <c r="CE81" s="303"/>
      <c r="CF81" s="303"/>
      <c r="CG81" s="303"/>
      <c r="CH81" s="303"/>
      <c r="CI81" s="303"/>
      <c r="CJ81" s="303"/>
      <c r="CK81" s="303"/>
      <c r="CL81" s="303"/>
      <c r="CM81" s="303"/>
      <c r="CN81" s="303"/>
      <c r="CO81" s="303"/>
      <c r="CP81" s="303"/>
      <c r="CQ81" s="303"/>
      <c r="CR81" s="303"/>
      <c r="CS81" s="303"/>
      <c r="CT81" s="303"/>
      <c r="CU81" s="303"/>
      <c r="CV81" s="303"/>
      <c r="CW81" s="303"/>
      <c r="CX81" s="303"/>
      <c r="CY81" s="303"/>
      <c r="CZ81" s="303"/>
      <c r="DA81" s="303"/>
      <c r="DB81" s="303"/>
      <c r="DC81" s="303"/>
      <c r="DD81" s="303"/>
      <c r="DE81" s="303"/>
      <c r="DF81" s="303"/>
      <c r="DG81" s="303"/>
      <c r="DH81" s="303"/>
      <c r="DI81" s="303"/>
      <c r="DJ81" s="303"/>
      <c r="DK81" s="303"/>
      <c r="DL81" s="303"/>
      <c r="DM81" s="303"/>
      <c r="DN81" s="303"/>
      <c r="DO81" s="303"/>
      <c r="DP81" s="303"/>
      <c r="DQ81" s="303"/>
      <c r="DR81" s="303"/>
      <c r="DS81" s="303"/>
      <c r="DT81" s="303"/>
      <c r="DU81" s="303"/>
      <c r="DV81" s="303"/>
      <c r="DW81" s="303"/>
      <c r="DX81" s="303"/>
      <c r="DY81" s="303"/>
      <c r="DZ81" s="303"/>
      <c r="EA81" s="303"/>
      <c r="EB81" s="303"/>
      <c r="EC81" s="303"/>
      <c r="ED81" s="303"/>
      <c r="EE81" s="303"/>
      <c r="EF81" s="303"/>
      <c r="EG81" s="303"/>
      <c r="EH81" s="303"/>
      <c r="EI81" s="303"/>
      <c r="EJ81" s="303"/>
      <c r="EK81" s="303"/>
      <c r="EL81" s="303"/>
      <c r="EM81" s="303"/>
      <c r="EN81" s="303"/>
      <c r="EO81" s="303"/>
      <c r="EP81" s="303"/>
      <c r="EQ81" s="303"/>
      <c r="ER81" s="303"/>
      <c r="ES81" s="303"/>
      <c r="ET81" s="303"/>
      <c r="EU81" s="303"/>
      <c r="EV81" s="303"/>
      <c r="EW81" s="303"/>
      <c r="EX81" s="303"/>
      <c r="EY81" s="303"/>
      <c r="EZ81" s="303"/>
      <c r="FA81" s="303"/>
      <c r="FB81" s="303"/>
      <c r="FC81" s="303"/>
      <c r="FD81" s="303"/>
      <c r="FE81" s="303"/>
      <c r="FF81" s="303"/>
      <c r="FG81" s="303"/>
      <c r="FH81" s="303"/>
      <c r="FI81" s="303"/>
      <c r="FJ81" s="303"/>
      <c r="FK81" s="303"/>
      <c r="FL81" s="303"/>
      <c r="FM81" s="303"/>
      <c r="FN81" s="303"/>
      <c r="FO81" s="303"/>
      <c r="FP81" s="303"/>
      <c r="FQ81" s="303"/>
      <c r="FR81" s="303"/>
      <c r="FS81" s="303"/>
      <c r="FT81" s="303"/>
      <c r="FU81" s="303"/>
      <c r="FV81" s="303"/>
      <c r="FW81" s="303"/>
      <c r="FX81" s="303"/>
      <c r="FY81" s="303"/>
      <c r="FZ81" s="303"/>
      <c r="GA81" s="303"/>
      <c r="GB81" s="303"/>
      <c r="GC81" s="303"/>
      <c r="GD81" s="303"/>
      <c r="GE81" s="303"/>
      <c r="GF81" s="303"/>
      <c r="GG81" s="303"/>
      <c r="GH81" s="303"/>
      <c r="GI81" s="303"/>
      <c r="GJ81" s="303"/>
      <c r="GK81" s="303"/>
      <c r="GL81" s="303"/>
      <c r="GM81" s="303"/>
      <c r="GN81" s="303"/>
      <c r="GO81" s="303"/>
      <c r="GP81" s="303"/>
      <c r="GQ81" s="303"/>
      <c r="GR81" s="303"/>
      <c r="GS81" s="303"/>
      <c r="GT81" s="303"/>
      <c r="GU81" s="303"/>
      <c r="GV81" s="303"/>
      <c r="GW81" s="303"/>
      <c r="GX81" s="303"/>
      <c r="GY81" s="303"/>
    </row>
    <row r="82" spans="1:207" s="639" customFormat="1">
      <c r="A82" s="368" t="s">
        <v>1214</v>
      </c>
      <c r="B82" s="701" t="s">
        <v>1233</v>
      </c>
      <c r="C82" s="633"/>
      <c r="D82" s="681"/>
      <c r="E82" s="19"/>
      <c r="F82" s="19"/>
      <c r="G82" s="19"/>
      <c r="H82" s="19"/>
      <c r="I82" s="1361">
        <f>1628*50*0</f>
        <v>0</v>
      </c>
      <c r="J82" s="852"/>
      <c r="K82" s="827"/>
      <c r="L82" s="1384"/>
      <c r="M82" s="634">
        <v>15</v>
      </c>
      <c r="N82" s="827">
        <f t="shared" si="10"/>
        <v>6.666666666666667</v>
      </c>
      <c r="O82" s="828">
        <f t="shared" si="11"/>
        <v>0</v>
      </c>
      <c r="P82" s="1437"/>
      <c r="Q82" s="1437"/>
      <c r="R82" s="1437"/>
      <c r="S82" s="1437"/>
      <c r="T82" s="1437"/>
      <c r="U82" s="1437"/>
      <c r="V82" s="1437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  <c r="BK82" s="303"/>
      <c r="BL82" s="303"/>
      <c r="BM82" s="303"/>
      <c r="BN82" s="303"/>
      <c r="BO82" s="303"/>
      <c r="BP82" s="303"/>
      <c r="BQ82" s="303"/>
      <c r="BR82" s="303"/>
      <c r="BS82" s="303"/>
      <c r="BT82" s="303"/>
      <c r="BU82" s="303"/>
      <c r="BV82" s="303"/>
      <c r="BW82" s="303"/>
      <c r="BX82" s="303"/>
      <c r="BY82" s="303"/>
      <c r="BZ82" s="303"/>
      <c r="CA82" s="303"/>
      <c r="CB82" s="303"/>
      <c r="CC82" s="303"/>
      <c r="CD82" s="303"/>
      <c r="CE82" s="303"/>
      <c r="CF82" s="303"/>
      <c r="CG82" s="303"/>
      <c r="CH82" s="303"/>
      <c r="CI82" s="303"/>
      <c r="CJ82" s="303"/>
      <c r="CK82" s="303"/>
      <c r="CL82" s="303"/>
      <c r="CM82" s="303"/>
      <c r="CN82" s="303"/>
      <c r="CO82" s="303"/>
      <c r="CP82" s="303"/>
      <c r="CQ82" s="303"/>
      <c r="CR82" s="303"/>
      <c r="CS82" s="303"/>
      <c r="CT82" s="303"/>
      <c r="CU82" s="303"/>
      <c r="CV82" s="303"/>
      <c r="CW82" s="303"/>
      <c r="CX82" s="303"/>
      <c r="CY82" s="303"/>
      <c r="CZ82" s="303"/>
      <c r="DA82" s="303"/>
      <c r="DB82" s="303"/>
      <c r="DC82" s="303"/>
      <c r="DD82" s="303"/>
      <c r="DE82" s="303"/>
      <c r="DF82" s="303"/>
      <c r="DG82" s="303"/>
      <c r="DH82" s="303"/>
      <c r="DI82" s="303"/>
      <c r="DJ82" s="303"/>
      <c r="DK82" s="303"/>
      <c r="DL82" s="303"/>
      <c r="DM82" s="303"/>
      <c r="DN82" s="303"/>
      <c r="DO82" s="303"/>
      <c r="DP82" s="303"/>
      <c r="DQ82" s="303"/>
      <c r="DR82" s="303"/>
      <c r="DS82" s="303"/>
      <c r="DT82" s="303"/>
      <c r="DU82" s="303"/>
      <c r="DV82" s="303"/>
      <c r="DW82" s="303"/>
      <c r="DX82" s="303"/>
      <c r="DY82" s="303"/>
      <c r="DZ82" s="303"/>
      <c r="EA82" s="303"/>
      <c r="EB82" s="303"/>
      <c r="EC82" s="303"/>
      <c r="ED82" s="303"/>
      <c r="EE82" s="303"/>
      <c r="EF82" s="303"/>
      <c r="EG82" s="303"/>
      <c r="EH82" s="303"/>
      <c r="EI82" s="303"/>
      <c r="EJ82" s="303"/>
      <c r="EK82" s="303"/>
      <c r="EL82" s="303"/>
      <c r="EM82" s="303"/>
      <c r="EN82" s="303"/>
      <c r="EO82" s="303"/>
      <c r="EP82" s="303"/>
      <c r="EQ82" s="303"/>
      <c r="ER82" s="303"/>
      <c r="ES82" s="303"/>
      <c r="ET82" s="303"/>
      <c r="EU82" s="303"/>
      <c r="EV82" s="303"/>
      <c r="EW82" s="303"/>
      <c r="EX82" s="303"/>
      <c r="EY82" s="303"/>
      <c r="EZ82" s="303"/>
      <c r="FA82" s="303"/>
      <c r="FB82" s="303"/>
      <c r="FC82" s="303"/>
      <c r="FD82" s="303"/>
      <c r="FE82" s="303"/>
      <c r="FF82" s="303"/>
      <c r="FG82" s="303"/>
      <c r="FH82" s="303"/>
      <c r="FI82" s="303"/>
      <c r="FJ82" s="303"/>
      <c r="FK82" s="303"/>
      <c r="FL82" s="303"/>
      <c r="FM82" s="303"/>
      <c r="FN82" s="303"/>
      <c r="FO82" s="303"/>
      <c r="FP82" s="303"/>
      <c r="FQ82" s="303"/>
      <c r="FR82" s="303"/>
      <c r="FS82" s="303"/>
      <c r="FT82" s="303"/>
      <c r="FU82" s="303"/>
      <c r="FV82" s="303"/>
      <c r="FW82" s="303"/>
      <c r="FX82" s="303"/>
      <c r="FY82" s="303"/>
      <c r="FZ82" s="303"/>
      <c r="GA82" s="303"/>
      <c r="GB82" s="303"/>
      <c r="GC82" s="303"/>
      <c r="GD82" s="303"/>
      <c r="GE82" s="303"/>
      <c r="GF82" s="303"/>
      <c r="GG82" s="303"/>
      <c r="GH82" s="303"/>
      <c r="GI82" s="303"/>
      <c r="GJ82" s="303"/>
      <c r="GK82" s="303"/>
      <c r="GL82" s="303"/>
      <c r="GM82" s="303"/>
      <c r="GN82" s="303"/>
      <c r="GO82" s="303"/>
      <c r="GP82" s="303"/>
      <c r="GQ82" s="303"/>
      <c r="GR82" s="303"/>
      <c r="GS82" s="303"/>
      <c r="GT82" s="303"/>
      <c r="GU82" s="303"/>
      <c r="GV82" s="303"/>
      <c r="GW82" s="303"/>
      <c r="GX82" s="303"/>
      <c r="GY82" s="303"/>
    </row>
    <row r="83" spans="1:207" s="639" customFormat="1">
      <c r="A83" s="368" t="s">
        <v>1215</v>
      </c>
      <c r="B83" s="701" t="s">
        <v>1251</v>
      </c>
      <c r="C83" s="633"/>
      <c r="D83" s="681"/>
      <c r="E83" s="19"/>
      <c r="F83" s="19"/>
      <c r="G83" s="19"/>
      <c r="H83" s="19"/>
      <c r="I83" s="1361">
        <f>60000*0+244200*1</f>
        <v>244200</v>
      </c>
      <c r="J83" s="852"/>
      <c r="K83" s="827"/>
      <c r="L83" s="1384"/>
      <c r="M83" s="634">
        <v>20</v>
      </c>
      <c r="N83" s="635">
        <f t="shared" si="10"/>
        <v>5</v>
      </c>
      <c r="O83" s="636">
        <f t="shared" si="11"/>
        <v>12210</v>
      </c>
      <c r="P83" s="1437"/>
      <c r="Q83" s="1437"/>
      <c r="R83" s="1437"/>
      <c r="S83" s="1437"/>
      <c r="T83" s="1437"/>
      <c r="U83" s="1437"/>
      <c r="V83" s="1437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  <c r="BK83" s="303"/>
      <c r="BL83" s="303"/>
      <c r="BM83" s="303"/>
      <c r="BN83" s="303"/>
      <c r="BO83" s="303"/>
      <c r="BP83" s="303"/>
      <c r="BQ83" s="303"/>
      <c r="BR83" s="303"/>
      <c r="BS83" s="303"/>
      <c r="BT83" s="303"/>
      <c r="BU83" s="303"/>
      <c r="BV83" s="303"/>
      <c r="BW83" s="303"/>
      <c r="BX83" s="303"/>
      <c r="BY83" s="303"/>
      <c r="BZ83" s="303"/>
      <c r="CA83" s="303"/>
      <c r="CB83" s="303"/>
      <c r="CC83" s="303"/>
      <c r="CD83" s="303"/>
      <c r="CE83" s="303"/>
      <c r="CF83" s="303"/>
      <c r="CG83" s="303"/>
      <c r="CH83" s="303"/>
      <c r="CI83" s="303"/>
      <c r="CJ83" s="303"/>
      <c r="CK83" s="303"/>
      <c r="CL83" s="303"/>
      <c r="CM83" s="303"/>
      <c r="CN83" s="303"/>
      <c r="CO83" s="303"/>
      <c r="CP83" s="303"/>
      <c r="CQ83" s="303"/>
      <c r="CR83" s="303"/>
      <c r="CS83" s="303"/>
      <c r="CT83" s="303"/>
      <c r="CU83" s="303"/>
      <c r="CV83" s="303"/>
      <c r="CW83" s="303"/>
      <c r="CX83" s="303"/>
      <c r="CY83" s="303"/>
      <c r="CZ83" s="303"/>
      <c r="DA83" s="303"/>
      <c r="DB83" s="303"/>
      <c r="DC83" s="303"/>
      <c r="DD83" s="303"/>
      <c r="DE83" s="303"/>
      <c r="DF83" s="303"/>
      <c r="DG83" s="303"/>
      <c r="DH83" s="303"/>
      <c r="DI83" s="303"/>
      <c r="DJ83" s="303"/>
      <c r="DK83" s="303"/>
      <c r="DL83" s="303"/>
      <c r="DM83" s="303"/>
      <c r="DN83" s="303"/>
      <c r="DO83" s="303"/>
      <c r="DP83" s="303"/>
      <c r="DQ83" s="303"/>
      <c r="DR83" s="303"/>
      <c r="DS83" s="303"/>
      <c r="DT83" s="303"/>
      <c r="DU83" s="303"/>
      <c r="DV83" s="303"/>
      <c r="DW83" s="303"/>
      <c r="DX83" s="303"/>
      <c r="DY83" s="303"/>
      <c r="DZ83" s="303"/>
      <c r="EA83" s="303"/>
      <c r="EB83" s="303"/>
      <c r="EC83" s="303"/>
      <c r="ED83" s="303"/>
      <c r="EE83" s="303"/>
      <c r="EF83" s="303"/>
      <c r="EG83" s="303"/>
      <c r="EH83" s="303"/>
      <c r="EI83" s="303"/>
      <c r="EJ83" s="303"/>
      <c r="EK83" s="303"/>
      <c r="EL83" s="303"/>
      <c r="EM83" s="303"/>
      <c r="EN83" s="303"/>
      <c r="EO83" s="303"/>
      <c r="EP83" s="303"/>
      <c r="EQ83" s="303"/>
      <c r="ER83" s="303"/>
      <c r="ES83" s="303"/>
      <c r="ET83" s="303"/>
      <c r="EU83" s="303"/>
      <c r="EV83" s="303"/>
      <c r="EW83" s="303"/>
      <c r="EX83" s="303"/>
      <c r="EY83" s="303"/>
      <c r="EZ83" s="303"/>
      <c r="FA83" s="303"/>
      <c r="FB83" s="303"/>
      <c r="FC83" s="303"/>
      <c r="FD83" s="303"/>
      <c r="FE83" s="303"/>
      <c r="FF83" s="303"/>
      <c r="FG83" s="303"/>
      <c r="FH83" s="303"/>
      <c r="FI83" s="303"/>
      <c r="FJ83" s="303"/>
      <c r="FK83" s="303"/>
      <c r="FL83" s="303"/>
      <c r="FM83" s="303"/>
      <c r="FN83" s="303"/>
      <c r="FO83" s="303"/>
      <c r="FP83" s="303"/>
      <c r="FQ83" s="303"/>
      <c r="FR83" s="303"/>
      <c r="FS83" s="303"/>
      <c r="FT83" s="303"/>
      <c r="FU83" s="303"/>
      <c r="FV83" s="303"/>
      <c r="FW83" s="303"/>
      <c r="FX83" s="303"/>
      <c r="FY83" s="303"/>
      <c r="FZ83" s="303"/>
      <c r="GA83" s="303"/>
      <c r="GB83" s="303"/>
      <c r="GC83" s="303"/>
      <c r="GD83" s="303"/>
      <c r="GE83" s="303"/>
      <c r="GF83" s="303"/>
      <c r="GG83" s="303"/>
      <c r="GH83" s="303"/>
      <c r="GI83" s="303"/>
      <c r="GJ83" s="303"/>
      <c r="GK83" s="303"/>
      <c r="GL83" s="303"/>
      <c r="GM83" s="303"/>
      <c r="GN83" s="303"/>
      <c r="GO83" s="303"/>
      <c r="GP83" s="303"/>
      <c r="GQ83" s="303"/>
      <c r="GR83" s="303"/>
      <c r="GS83" s="303"/>
      <c r="GT83" s="303"/>
      <c r="GU83" s="303"/>
      <c r="GV83" s="303"/>
      <c r="GW83" s="303"/>
      <c r="GX83" s="303"/>
      <c r="GY83" s="303"/>
    </row>
    <row r="84" spans="1:207" s="639" customFormat="1">
      <c r="A84" s="368" t="s">
        <v>1216</v>
      </c>
      <c r="B84" s="701" t="s">
        <v>1248</v>
      </c>
      <c r="C84" s="633"/>
      <c r="D84" s="681"/>
      <c r="E84" s="19"/>
      <c r="F84" s="19"/>
      <c r="G84" s="19"/>
      <c r="H84" s="19"/>
      <c r="I84" s="1361">
        <f>122000*60%</f>
        <v>73200</v>
      </c>
      <c r="J84" s="852"/>
      <c r="K84" s="827"/>
      <c r="L84" s="1384"/>
      <c r="M84" s="634">
        <v>15</v>
      </c>
      <c r="N84" s="635">
        <f t="shared" si="10"/>
        <v>6.666666666666667</v>
      </c>
      <c r="O84" s="636">
        <f>I84*N84/100</f>
        <v>4880</v>
      </c>
      <c r="P84" s="1437"/>
      <c r="Q84" s="1437"/>
      <c r="R84" s="1437"/>
      <c r="S84" s="1437"/>
      <c r="T84" s="1437"/>
      <c r="U84" s="1437"/>
      <c r="V84" s="1437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  <c r="BK84" s="303"/>
      <c r="BL84" s="303"/>
      <c r="BM84" s="303"/>
      <c r="BN84" s="303"/>
      <c r="BO84" s="303"/>
      <c r="BP84" s="303"/>
      <c r="BQ84" s="303"/>
      <c r="BR84" s="303"/>
      <c r="BS84" s="303"/>
      <c r="BT84" s="303"/>
      <c r="BU84" s="303"/>
      <c r="BV84" s="303"/>
      <c r="BW84" s="303"/>
      <c r="BX84" s="303"/>
      <c r="BY84" s="303"/>
      <c r="BZ84" s="303"/>
      <c r="CA84" s="303"/>
      <c r="CB84" s="303"/>
      <c r="CC84" s="303"/>
      <c r="CD84" s="303"/>
      <c r="CE84" s="303"/>
      <c r="CF84" s="303"/>
      <c r="CG84" s="303"/>
      <c r="CH84" s="303"/>
      <c r="CI84" s="303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CU84" s="303"/>
      <c r="CV84" s="303"/>
      <c r="CW84" s="303"/>
      <c r="CX84" s="303"/>
      <c r="CY84" s="303"/>
      <c r="CZ84" s="303"/>
      <c r="DA84" s="303"/>
      <c r="DB84" s="303"/>
      <c r="DC84" s="303"/>
      <c r="DD84" s="303"/>
      <c r="DE84" s="303"/>
      <c r="DF84" s="303"/>
      <c r="DG84" s="303"/>
      <c r="DH84" s="303"/>
      <c r="DI84" s="303"/>
      <c r="DJ84" s="303"/>
      <c r="DK84" s="303"/>
      <c r="DL84" s="303"/>
      <c r="DM84" s="303"/>
      <c r="DN84" s="303"/>
      <c r="DO84" s="303"/>
      <c r="DP84" s="303"/>
      <c r="DQ84" s="303"/>
      <c r="DR84" s="303"/>
      <c r="DS84" s="303"/>
      <c r="DT84" s="303"/>
      <c r="DU84" s="303"/>
      <c r="DV84" s="303"/>
      <c r="DW84" s="303"/>
      <c r="DX84" s="303"/>
      <c r="DY84" s="303"/>
      <c r="DZ84" s="303"/>
      <c r="EA84" s="303"/>
      <c r="EB84" s="303"/>
      <c r="EC84" s="303"/>
      <c r="ED84" s="303"/>
      <c r="EE84" s="303"/>
      <c r="EF84" s="303"/>
      <c r="EG84" s="303"/>
      <c r="EH84" s="303"/>
      <c r="EI84" s="303"/>
      <c r="EJ84" s="303"/>
      <c r="EK84" s="303"/>
      <c r="EL84" s="303"/>
      <c r="EM84" s="303"/>
      <c r="EN84" s="303"/>
      <c r="EO84" s="303"/>
      <c r="EP84" s="303"/>
      <c r="EQ84" s="303"/>
      <c r="ER84" s="303"/>
      <c r="ES84" s="303"/>
      <c r="ET84" s="303"/>
      <c r="EU84" s="303"/>
      <c r="EV84" s="303"/>
      <c r="EW84" s="303"/>
      <c r="EX84" s="303"/>
      <c r="EY84" s="303"/>
      <c r="EZ84" s="303"/>
      <c r="FA84" s="303"/>
      <c r="FB84" s="303"/>
      <c r="FC84" s="303"/>
      <c r="FD84" s="303"/>
      <c r="FE84" s="303"/>
      <c r="FF84" s="303"/>
      <c r="FG84" s="303"/>
      <c r="FH84" s="303"/>
      <c r="FI84" s="303"/>
      <c r="FJ84" s="303"/>
      <c r="FK84" s="303"/>
      <c r="FL84" s="303"/>
      <c r="FM84" s="303"/>
      <c r="FN84" s="303"/>
      <c r="FO84" s="303"/>
      <c r="FP84" s="303"/>
      <c r="FQ84" s="303"/>
      <c r="FR84" s="303"/>
      <c r="FS84" s="303"/>
      <c r="FT84" s="303"/>
      <c r="FU84" s="303"/>
      <c r="FV84" s="303"/>
      <c r="FW84" s="303"/>
      <c r="FX84" s="303"/>
      <c r="FY84" s="303"/>
      <c r="FZ84" s="303"/>
      <c r="GA84" s="303"/>
      <c r="GB84" s="303"/>
      <c r="GC84" s="303"/>
      <c r="GD84" s="303"/>
      <c r="GE84" s="303"/>
      <c r="GF84" s="303"/>
      <c r="GG84" s="303"/>
      <c r="GH84" s="303"/>
      <c r="GI84" s="303"/>
      <c r="GJ84" s="303"/>
      <c r="GK84" s="303"/>
      <c r="GL84" s="303"/>
      <c r="GM84" s="303"/>
      <c r="GN84" s="303"/>
      <c r="GO84" s="303"/>
      <c r="GP84" s="303"/>
      <c r="GQ84" s="303"/>
      <c r="GR84" s="303"/>
      <c r="GS84" s="303"/>
      <c r="GT84" s="303"/>
      <c r="GU84" s="303"/>
      <c r="GV84" s="303"/>
      <c r="GW84" s="303"/>
      <c r="GX84" s="303"/>
      <c r="GY84" s="303"/>
    </row>
    <row r="85" spans="1:207" s="639" customFormat="1">
      <c r="A85" s="368" t="s">
        <v>1217</v>
      </c>
      <c r="B85" s="701"/>
      <c r="C85" s="633"/>
      <c r="D85" s="681"/>
      <c r="E85" s="19"/>
      <c r="F85" s="19"/>
      <c r="G85" s="19"/>
      <c r="H85" s="19"/>
      <c r="I85" s="1361"/>
      <c r="J85" s="852"/>
      <c r="K85" s="827"/>
      <c r="L85" s="1384"/>
      <c r="M85" s="852"/>
      <c r="N85" s="827"/>
      <c r="O85" s="828"/>
      <c r="P85" s="1437"/>
      <c r="Q85" s="1437"/>
      <c r="R85" s="1437"/>
      <c r="S85" s="1437"/>
      <c r="T85" s="1437"/>
      <c r="U85" s="1437"/>
      <c r="V85" s="1437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  <c r="BK85" s="303"/>
      <c r="BL85" s="303"/>
      <c r="BM85" s="303"/>
      <c r="BN85" s="303"/>
      <c r="BO85" s="303"/>
      <c r="BP85" s="303"/>
      <c r="BQ85" s="303"/>
      <c r="BR85" s="303"/>
      <c r="BS85" s="303"/>
      <c r="BT85" s="303"/>
      <c r="BU85" s="303"/>
      <c r="BV85" s="303"/>
      <c r="BW85" s="303"/>
      <c r="BX85" s="303"/>
      <c r="BY85" s="303"/>
      <c r="BZ85" s="303"/>
      <c r="CA85" s="303"/>
      <c r="CB85" s="303"/>
      <c r="CC85" s="303"/>
      <c r="CD85" s="303"/>
      <c r="CE85" s="303"/>
      <c r="CF85" s="303"/>
      <c r="CG85" s="303"/>
      <c r="CH85" s="303"/>
      <c r="CI85" s="303"/>
      <c r="CJ85" s="303"/>
      <c r="CK85" s="303"/>
      <c r="CL85" s="303"/>
      <c r="CM85" s="303"/>
      <c r="CN85" s="303"/>
      <c r="CO85" s="303"/>
      <c r="CP85" s="303"/>
      <c r="CQ85" s="303"/>
      <c r="CR85" s="303"/>
      <c r="CS85" s="303"/>
      <c r="CT85" s="303"/>
      <c r="CU85" s="303"/>
      <c r="CV85" s="303"/>
      <c r="CW85" s="303"/>
      <c r="CX85" s="303"/>
      <c r="CY85" s="303"/>
      <c r="CZ85" s="303"/>
      <c r="DA85" s="303"/>
      <c r="DB85" s="303"/>
      <c r="DC85" s="303"/>
      <c r="DD85" s="303"/>
      <c r="DE85" s="303"/>
      <c r="DF85" s="303"/>
      <c r="DG85" s="303"/>
      <c r="DH85" s="303"/>
      <c r="DI85" s="303"/>
      <c r="DJ85" s="303"/>
      <c r="DK85" s="303"/>
      <c r="DL85" s="303"/>
      <c r="DM85" s="303"/>
      <c r="DN85" s="303"/>
      <c r="DO85" s="303"/>
      <c r="DP85" s="303"/>
      <c r="DQ85" s="303"/>
      <c r="DR85" s="303"/>
      <c r="DS85" s="303"/>
      <c r="DT85" s="303"/>
      <c r="DU85" s="303"/>
      <c r="DV85" s="303"/>
      <c r="DW85" s="303"/>
      <c r="DX85" s="303"/>
      <c r="DY85" s="303"/>
      <c r="DZ85" s="303"/>
      <c r="EA85" s="303"/>
      <c r="EB85" s="303"/>
      <c r="EC85" s="303"/>
      <c r="ED85" s="303"/>
      <c r="EE85" s="303"/>
      <c r="EF85" s="303"/>
      <c r="EG85" s="303"/>
      <c r="EH85" s="303"/>
      <c r="EI85" s="303"/>
      <c r="EJ85" s="303"/>
      <c r="EK85" s="303"/>
      <c r="EL85" s="303"/>
      <c r="EM85" s="303"/>
      <c r="EN85" s="303"/>
      <c r="EO85" s="303"/>
      <c r="EP85" s="303"/>
      <c r="EQ85" s="303"/>
      <c r="ER85" s="303"/>
      <c r="ES85" s="303"/>
      <c r="ET85" s="303"/>
      <c r="EU85" s="303"/>
      <c r="EV85" s="303"/>
      <c r="EW85" s="303"/>
      <c r="EX85" s="303"/>
      <c r="EY85" s="303"/>
      <c r="EZ85" s="303"/>
      <c r="FA85" s="303"/>
      <c r="FB85" s="303"/>
      <c r="FC85" s="303"/>
      <c r="FD85" s="303"/>
      <c r="FE85" s="303"/>
      <c r="FF85" s="303"/>
      <c r="FG85" s="303"/>
      <c r="FH85" s="303"/>
      <c r="FI85" s="303"/>
      <c r="FJ85" s="303"/>
      <c r="FK85" s="303"/>
      <c r="FL85" s="303"/>
      <c r="FM85" s="303"/>
      <c r="FN85" s="303"/>
      <c r="FO85" s="303"/>
      <c r="FP85" s="303"/>
      <c r="FQ85" s="303"/>
      <c r="FR85" s="303"/>
      <c r="FS85" s="303"/>
      <c r="FT85" s="303"/>
      <c r="FU85" s="303"/>
      <c r="FV85" s="303"/>
      <c r="FW85" s="303"/>
      <c r="FX85" s="303"/>
      <c r="FY85" s="303"/>
      <c r="FZ85" s="303"/>
      <c r="GA85" s="303"/>
      <c r="GB85" s="303"/>
      <c r="GC85" s="303"/>
      <c r="GD85" s="303"/>
      <c r="GE85" s="303"/>
      <c r="GF85" s="303"/>
      <c r="GG85" s="303"/>
      <c r="GH85" s="303"/>
      <c r="GI85" s="303"/>
      <c r="GJ85" s="303"/>
      <c r="GK85" s="303"/>
      <c r="GL85" s="303"/>
      <c r="GM85" s="303"/>
      <c r="GN85" s="303"/>
      <c r="GO85" s="303"/>
      <c r="GP85" s="303"/>
      <c r="GQ85" s="303"/>
      <c r="GR85" s="303"/>
      <c r="GS85" s="303"/>
      <c r="GT85" s="303"/>
      <c r="GU85" s="303"/>
      <c r="GV85" s="303"/>
      <c r="GW85" s="303"/>
      <c r="GX85" s="303"/>
      <c r="GY85" s="303"/>
    </row>
    <row r="86" spans="1:207" s="298" customFormat="1" ht="26.4">
      <c r="A86" s="629" t="s">
        <v>30</v>
      </c>
      <c r="B86" s="705" t="s">
        <v>1242</v>
      </c>
      <c r="C86" s="630">
        <f t="shared" ref="C86:H86" si="12">SUM(C87:C89)</f>
        <v>0</v>
      </c>
      <c r="D86" s="680">
        <f t="shared" si="12"/>
        <v>0</v>
      </c>
      <c r="E86" s="18">
        <f t="shared" si="12"/>
        <v>0</v>
      </c>
      <c r="F86" s="18">
        <f t="shared" si="12"/>
        <v>0</v>
      </c>
      <c r="G86" s="18">
        <f t="shared" si="12"/>
        <v>64035</v>
      </c>
      <c r="H86" s="18">
        <f t="shared" si="12"/>
        <v>0</v>
      </c>
      <c r="I86" s="1360">
        <f t="shared" ref="I86" si="13">SUM(I87:I89)</f>
        <v>0</v>
      </c>
      <c r="J86" s="631"/>
      <c r="K86" s="631"/>
      <c r="L86" s="1270">
        <f>SUM(L87:L89)</f>
        <v>0</v>
      </c>
      <c r="M86" s="631"/>
      <c r="N86" s="631"/>
      <c r="O86" s="632">
        <f>SUM(O87:O89)</f>
        <v>0</v>
      </c>
      <c r="P86" s="1436"/>
      <c r="Q86" s="1436"/>
      <c r="R86" s="1436"/>
      <c r="S86" s="1436"/>
      <c r="T86" s="1436"/>
      <c r="U86" s="1436"/>
      <c r="V86" s="1436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  <c r="CD86" s="297"/>
      <c r="CE86" s="297"/>
      <c r="CF86" s="297"/>
      <c r="CG86" s="297"/>
      <c r="CH86" s="297"/>
      <c r="CI86" s="297"/>
      <c r="CJ86" s="297"/>
      <c r="CK86" s="297"/>
      <c r="CL86" s="297"/>
      <c r="CM86" s="297"/>
      <c r="CN86" s="297"/>
      <c r="CO86" s="297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7"/>
      <c r="DA86" s="297"/>
      <c r="DB86" s="297"/>
      <c r="DC86" s="297"/>
      <c r="DD86" s="297"/>
      <c r="DE86" s="297"/>
      <c r="DF86" s="297"/>
      <c r="DG86" s="297"/>
      <c r="DH86" s="297"/>
      <c r="DI86" s="297"/>
      <c r="DJ86" s="297"/>
      <c r="DK86" s="297"/>
      <c r="DL86" s="297"/>
      <c r="DM86" s="297"/>
      <c r="DN86" s="297"/>
      <c r="DO86" s="297"/>
      <c r="DP86" s="297"/>
      <c r="DQ86" s="297"/>
      <c r="DR86" s="297"/>
      <c r="DS86" s="297"/>
      <c r="DT86" s="297"/>
      <c r="DU86" s="297"/>
      <c r="DV86" s="297"/>
      <c r="DW86" s="297"/>
      <c r="DX86" s="297"/>
      <c r="DY86" s="297"/>
      <c r="DZ86" s="297"/>
      <c r="EA86" s="297"/>
      <c r="EB86" s="297"/>
      <c r="EC86" s="297"/>
      <c r="ED86" s="297"/>
      <c r="EE86" s="297"/>
      <c r="EF86" s="297"/>
      <c r="EG86" s="297"/>
      <c r="EH86" s="297"/>
      <c r="EI86" s="297"/>
      <c r="EJ86" s="297"/>
      <c r="EK86" s="297"/>
      <c r="EL86" s="297"/>
      <c r="EM86" s="297"/>
      <c r="EN86" s="297"/>
      <c r="EO86" s="297"/>
      <c r="EP86" s="297"/>
      <c r="EQ86" s="297"/>
      <c r="ER86" s="297"/>
      <c r="ES86" s="297"/>
      <c r="ET86" s="297"/>
      <c r="EU86" s="297"/>
      <c r="EV86" s="297"/>
      <c r="EW86" s="297"/>
      <c r="EX86" s="297"/>
      <c r="EY86" s="297"/>
      <c r="EZ86" s="297"/>
      <c r="FA86" s="297"/>
      <c r="FB86" s="297"/>
      <c r="FC86" s="297"/>
      <c r="FD86" s="297"/>
      <c r="FE86" s="297"/>
      <c r="FF86" s="297"/>
      <c r="FG86" s="297"/>
      <c r="FH86" s="297"/>
      <c r="FI86" s="297"/>
      <c r="FJ86" s="297"/>
      <c r="FK86" s="297"/>
      <c r="FL86" s="297"/>
      <c r="FM86" s="297"/>
      <c r="FN86" s="297"/>
      <c r="FO86" s="297"/>
      <c r="FP86" s="297"/>
      <c r="FQ86" s="297"/>
      <c r="FR86" s="297"/>
      <c r="FS86" s="297"/>
      <c r="FT86" s="297"/>
      <c r="FU86" s="297"/>
      <c r="FV86" s="297"/>
      <c r="FW86" s="297"/>
      <c r="FX86" s="297"/>
      <c r="FY86" s="297"/>
      <c r="FZ86" s="297"/>
      <c r="GA86" s="297"/>
      <c r="GB86" s="297"/>
      <c r="GC86" s="297"/>
      <c r="GD86" s="297"/>
      <c r="GE86" s="297"/>
      <c r="GF86" s="297"/>
      <c r="GG86" s="297"/>
      <c r="GH86" s="297"/>
      <c r="GI86" s="297"/>
      <c r="GJ86" s="297"/>
      <c r="GK86" s="297"/>
      <c r="GL86" s="297"/>
      <c r="GM86" s="297"/>
      <c r="GN86" s="297"/>
      <c r="GO86" s="297"/>
      <c r="GP86" s="297"/>
      <c r="GQ86" s="297"/>
      <c r="GR86" s="297"/>
      <c r="GS86" s="297"/>
      <c r="GT86" s="297"/>
      <c r="GU86" s="297"/>
      <c r="GV86" s="297"/>
      <c r="GW86" s="297"/>
      <c r="GX86" s="297"/>
      <c r="GY86" s="297"/>
    </row>
    <row r="87" spans="1:207" s="639" customFormat="1">
      <c r="A87" s="368" t="s">
        <v>31</v>
      </c>
      <c r="B87" s="675" t="s">
        <v>966</v>
      </c>
      <c r="C87" s="633"/>
      <c r="D87" s="681"/>
      <c r="E87" s="19"/>
      <c r="F87" s="19"/>
      <c r="G87" s="19">
        <f>5000+59035</f>
        <v>64035</v>
      </c>
      <c r="H87" s="19"/>
      <c r="I87" s="1361"/>
      <c r="J87" s="303"/>
      <c r="K87" s="303"/>
      <c r="L87" s="1383"/>
      <c r="M87" s="303"/>
      <c r="N87" s="303"/>
      <c r="O87" s="303"/>
      <c r="P87" s="1437"/>
      <c r="Q87" s="1437"/>
      <c r="R87" s="1437"/>
      <c r="S87" s="1437"/>
      <c r="T87" s="1437"/>
      <c r="U87" s="1437"/>
      <c r="V87" s="1437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  <c r="BK87" s="303"/>
      <c r="BL87" s="303"/>
      <c r="BM87" s="303"/>
      <c r="BN87" s="303"/>
      <c r="BO87" s="303"/>
      <c r="BP87" s="303"/>
      <c r="BQ87" s="303"/>
      <c r="BR87" s="303"/>
      <c r="BS87" s="303"/>
      <c r="BT87" s="303"/>
      <c r="BU87" s="303"/>
      <c r="BV87" s="303"/>
      <c r="BW87" s="303"/>
      <c r="BX87" s="303"/>
      <c r="BY87" s="303"/>
      <c r="BZ87" s="303"/>
      <c r="CA87" s="303"/>
      <c r="CB87" s="303"/>
      <c r="CC87" s="303"/>
      <c r="CD87" s="303"/>
      <c r="CE87" s="303"/>
      <c r="CF87" s="303"/>
      <c r="CG87" s="303"/>
      <c r="CH87" s="303"/>
      <c r="CI87" s="303"/>
      <c r="CJ87" s="303"/>
      <c r="CK87" s="303"/>
      <c r="CL87" s="303"/>
      <c r="CM87" s="303"/>
      <c r="CN87" s="303"/>
      <c r="CO87" s="303"/>
      <c r="CP87" s="303"/>
      <c r="CQ87" s="303"/>
      <c r="CR87" s="303"/>
      <c r="CS87" s="303"/>
      <c r="CT87" s="303"/>
      <c r="CU87" s="303"/>
      <c r="CV87" s="303"/>
      <c r="CW87" s="303"/>
      <c r="CX87" s="303"/>
      <c r="CY87" s="303"/>
      <c r="CZ87" s="303"/>
      <c r="DA87" s="303"/>
      <c r="DB87" s="303"/>
      <c r="DC87" s="303"/>
      <c r="DD87" s="303"/>
      <c r="DE87" s="303"/>
      <c r="DF87" s="303"/>
      <c r="DG87" s="303"/>
      <c r="DH87" s="303"/>
      <c r="DI87" s="303"/>
      <c r="DJ87" s="303"/>
      <c r="DK87" s="303"/>
      <c r="DL87" s="303"/>
      <c r="DM87" s="303"/>
      <c r="DN87" s="303"/>
      <c r="DO87" s="303"/>
      <c r="DP87" s="303"/>
      <c r="DQ87" s="303"/>
      <c r="DR87" s="303"/>
      <c r="DS87" s="303"/>
      <c r="DT87" s="303"/>
      <c r="DU87" s="303"/>
      <c r="DV87" s="303"/>
      <c r="DW87" s="303"/>
      <c r="DX87" s="303"/>
      <c r="DY87" s="303"/>
      <c r="DZ87" s="303"/>
      <c r="EA87" s="303"/>
      <c r="EB87" s="303"/>
      <c r="EC87" s="303"/>
      <c r="ED87" s="303"/>
      <c r="EE87" s="303"/>
      <c r="EF87" s="303"/>
      <c r="EG87" s="303"/>
      <c r="EH87" s="303"/>
      <c r="EI87" s="303"/>
      <c r="EJ87" s="303"/>
      <c r="EK87" s="303"/>
      <c r="EL87" s="303"/>
      <c r="EM87" s="303"/>
      <c r="EN87" s="303"/>
      <c r="EO87" s="303"/>
      <c r="EP87" s="303"/>
      <c r="EQ87" s="303"/>
      <c r="ER87" s="303"/>
      <c r="ES87" s="303"/>
      <c r="ET87" s="303"/>
      <c r="EU87" s="303"/>
      <c r="EV87" s="303"/>
      <c r="EW87" s="303"/>
      <c r="EX87" s="303"/>
      <c r="EY87" s="303"/>
      <c r="EZ87" s="303"/>
      <c r="FA87" s="303"/>
      <c r="FB87" s="303"/>
      <c r="FC87" s="303"/>
      <c r="FD87" s="303"/>
      <c r="FE87" s="303"/>
      <c r="FF87" s="303"/>
      <c r="FG87" s="303"/>
      <c r="FH87" s="303"/>
      <c r="FI87" s="303"/>
      <c r="FJ87" s="303"/>
      <c r="FK87" s="303"/>
      <c r="FL87" s="303"/>
      <c r="FM87" s="303"/>
      <c r="FN87" s="303"/>
      <c r="FO87" s="303"/>
      <c r="FP87" s="303"/>
      <c r="FQ87" s="303"/>
      <c r="FR87" s="303"/>
      <c r="FS87" s="303"/>
      <c r="FT87" s="303"/>
      <c r="FU87" s="303"/>
      <c r="FV87" s="303"/>
      <c r="FW87" s="303"/>
      <c r="FX87" s="303"/>
      <c r="FY87" s="303"/>
      <c r="FZ87" s="303"/>
      <c r="GA87" s="303"/>
      <c r="GB87" s="303"/>
      <c r="GC87" s="303"/>
      <c r="GD87" s="303"/>
      <c r="GE87" s="303"/>
      <c r="GF87" s="303"/>
      <c r="GG87" s="303"/>
      <c r="GH87" s="303"/>
      <c r="GI87" s="303"/>
      <c r="GJ87" s="303"/>
      <c r="GK87" s="303"/>
      <c r="GL87" s="303"/>
      <c r="GM87" s="303"/>
      <c r="GN87" s="303"/>
      <c r="GO87" s="303"/>
      <c r="GP87" s="303"/>
      <c r="GQ87" s="303"/>
      <c r="GR87" s="303"/>
      <c r="GS87" s="303"/>
      <c r="GT87" s="303"/>
      <c r="GU87" s="303"/>
      <c r="GV87" s="303"/>
      <c r="GW87" s="303"/>
      <c r="GX87" s="303"/>
      <c r="GY87" s="303"/>
    </row>
    <row r="88" spans="1:207" s="639" customFormat="1">
      <c r="A88" s="368" t="s">
        <v>32</v>
      </c>
      <c r="B88" s="675"/>
      <c r="C88" s="633"/>
      <c r="D88" s="681"/>
      <c r="E88" s="19"/>
      <c r="F88" s="19"/>
      <c r="G88" s="19"/>
      <c r="H88" s="19"/>
      <c r="I88" s="1361"/>
      <c r="J88" s="303"/>
      <c r="K88" s="303"/>
      <c r="L88" s="1383"/>
      <c r="M88" s="303"/>
      <c r="N88" s="303"/>
      <c r="O88" s="303"/>
      <c r="P88" s="1437"/>
      <c r="Q88" s="1437"/>
      <c r="R88" s="1437"/>
      <c r="S88" s="1437"/>
      <c r="T88" s="1437"/>
      <c r="U88" s="1437"/>
      <c r="V88" s="1437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  <c r="BK88" s="303"/>
      <c r="BL88" s="303"/>
      <c r="BM88" s="303"/>
      <c r="BN88" s="303"/>
      <c r="BO88" s="303"/>
      <c r="BP88" s="303"/>
      <c r="BQ88" s="303"/>
      <c r="BR88" s="303"/>
      <c r="BS88" s="303"/>
      <c r="BT88" s="303"/>
      <c r="BU88" s="303"/>
      <c r="BV88" s="303"/>
      <c r="BW88" s="303"/>
      <c r="BX88" s="303"/>
      <c r="BY88" s="303"/>
      <c r="BZ88" s="303"/>
      <c r="CA88" s="303"/>
      <c r="CB88" s="303"/>
      <c r="CC88" s="303"/>
      <c r="CD88" s="303"/>
      <c r="CE88" s="303"/>
      <c r="CF88" s="303"/>
      <c r="CG88" s="303"/>
      <c r="CH88" s="303"/>
      <c r="CI88" s="303"/>
      <c r="CJ88" s="303"/>
      <c r="CK88" s="303"/>
      <c r="CL88" s="303"/>
      <c r="CM88" s="303"/>
      <c r="CN88" s="303"/>
      <c r="CO88" s="303"/>
      <c r="CP88" s="303"/>
      <c r="CQ88" s="303"/>
      <c r="CR88" s="303"/>
      <c r="CS88" s="303"/>
      <c r="CT88" s="303"/>
      <c r="CU88" s="303"/>
      <c r="CV88" s="303"/>
      <c r="CW88" s="303"/>
      <c r="CX88" s="303"/>
      <c r="CY88" s="303"/>
      <c r="CZ88" s="303"/>
      <c r="DA88" s="303"/>
      <c r="DB88" s="303"/>
      <c r="DC88" s="303"/>
      <c r="DD88" s="303"/>
      <c r="DE88" s="303"/>
      <c r="DF88" s="303"/>
      <c r="DG88" s="303"/>
      <c r="DH88" s="303"/>
      <c r="DI88" s="303"/>
      <c r="DJ88" s="303"/>
      <c r="DK88" s="303"/>
      <c r="DL88" s="303"/>
      <c r="DM88" s="303"/>
      <c r="DN88" s="303"/>
      <c r="DO88" s="303"/>
      <c r="DP88" s="303"/>
      <c r="DQ88" s="303"/>
      <c r="DR88" s="303"/>
      <c r="DS88" s="303"/>
      <c r="DT88" s="303"/>
      <c r="DU88" s="303"/>
      <c r="DV88" s="303"/>
      <c r="DW88" s="303"/>
      <c r="DX88" s="303"/>
      <c r="DY88" s="303"/>
      <c r="DZ88" s="303"/>
      <c r="EA88" s="303"/>
      <c r="EB88" s="303"/>
      <c r="EC88" s="303"/>
      <c r="ED88" s="303"/>
      <c r="EE88" s="303"/>
      <c r="EF88" s="303"/>
      <c r="EG88" s="303"/>
      <c r="EH88" s="303"/>
      <c r="EI88" s="303"/>
      <c r="EJ88" s="303"/>
      <c r="EK88" s="303"/>
      <c r="EL88" s="303"/>
      <c r="EM88" s="303"/>
      <c r="EN88" s="303"/>
      <c r="EO88" s="303"/>
      <c r="EP88" s="303"/>
      <c r="EQ88" s="303"/>
      <c r="ER88" s="303"/>
      <c r="ES88" s="303"/>
      <c r="ET88" s="303"/>
      <c r="EU88" s="303"/>
      <c r="EV88" s="303"/>
      <c r="EW88" s="303"/>
      <c r="EX88" s="303"/>
      <c r="EY88" s="303"/>
      <c r="EZ88" s="303"/>
      <c r="FA88" s="303"/>
      <c r="FB88" s="303"/>
      <c r="FC88" s="303"/>
      <c r="FD88" s="303"/>
      <c r="FE88" s="303"/>
      <c r="FF88" s="303"/>
      <c r="FG88" s="303"/>
      <c r="FH88" s="303"/>
      <c r="FI88" s="303"/>
      <c r="FJ88" s="303"/>
      <c r="FK88" s="303"/>
      <c r="FL88" s="303"/>
      <c r="FM88" s="303"/>
      <c r="FN88" s="303"/>
      <c r="FO88" s="303"/>
      <c r="FP88" s="303"/>
      <c r="FQ88" s="303"/>
      <c r="FR88" s="303"/>
      <c r="FS88" s="303"/>
      <c r="FT88" s="303"/>
      <c r="FU88" s="303"/>
      <c r="FV88" s="303"/>
      <c r="FW88" s="303"/>
      <c r="FX88" s="303"/>
      <c r="FY88" s="303"/>
      <c r="FZ88" s="303"/>
      <c r="GA88" s="303"/>
      <c r="GB88" s="303"/>
      <c r="GC88" s="303"/>
      <c r="GD88" s="303"/>
      <c r="GE88" s="303"/>
      <c r="GF88" s="303"/>
      <c r="GG88" s="303"/>
      <c r="GH88" s="303"/>
      <c r="GI88" s="303"/>
      <c r="GJ88" s="303"/>
      <c r="GK88" s="303"/>
      <c r="GL88" s="303"/>
      <c r="GM88" s="303"/>
      <c r="GN88" s="303"/>
      <c r="GO88" s="303"/>
      <c r="GP88" s="303"/>
      <c r="GQ88" s="303"/>
      <c r="GR88" s="303"/>
      <c r="GS88" s="303"/>
      <c r="GT88" s="303"/>
      <c r="GU88" s="303"/>
      <c r="GV88" s="303"/>
      <c r="GW88" s="303"/>
      <c r="GX88" s="303"/>
      <c r="GY88" s="303"/>
    </row>
    <row r="89" spans="1:207" s="639" customFormat="1">
      <c r="A89" s="368" t="s">
        <v>225</v>
      </c>
      <c r="B89" s="675"/>
      <c r="C89" s="633"/>
      <c r="D89" s="681"/>
      <c r="E89" s="19"/>
      <c r="F89" s="19"/>
      <c r="G89" s="19"/>
      <c r="H89" s="19"/>
      <c r="I89" s="1361"/>
      <c r="J89" s="303"/>
      <c r="K89" s="303"/>
      <c r="L89" s="1383"/>
      <c r="M89" s="303"/>
      <c r="N89" s="303"/>
      <c r="O89" s="303"/>
      <c r="P89" s="1437"/>
      <c r="Q89" s="1437"/>
      <c r="R89" s="1437"/>
      <c r="S89" s="1437"/>
      <c r="T89" s="1437"/>
      <c r="U89" s="1437"/>
      <c r="V89" s="1437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  <c r="BK89" s="303"/>
      <c r="BL89" s="303"/>
      <c r="BM89" s="303"/>
      <c r="BN89" s="303"/>
      <c r="BO89" s="303"/>
      <c r="BP89" s="303"/>
      <c r="BQ89" s="303"/>
      <c r="BR89" s="303"/>
      <c r="BS89" s="303"/>
      <c r="BT89" s="303"/>
      <c r="BU89" s="303"/>
      <c r="BV89" s="303"/>
      <c r="BW89" s="303"/>
      <c r="BX89" s="303"/>
      <c r="BY89" s="303"/>
      <c r="BZ89" s="303"/>
      <c r="CA89" s="303"/>
      <c r="CB89" s="303"/>
      <c r="CC89" s="303"/>
      <c r="CD89" s="303"/>
      <c r="CE89" s="303"/>
      <c r="CF89" s="303"/>
      <c r="CG89" s="303"/>
      <c r="CH89" s="303"/>
      <c r="CI89" s="303"/>
      <c r="CJ89" s="303"/>
      <c r="CK89" s="303"/>
      <c r="CL89" s="303"/>
      <c r="CM89" s="303"/>
      <c r="CN89" s="303"/>
      <c r="CO89" s="303"/>
      <c r="CP89" s="303"/>
      <c r="CQ89" s="303"/>
      <c r="CR89" s="303"/>
      <c r="CS89" s="303"/>
      <c r="CT89" s="303"/>
      <c r="CU89" s="303"/>
      <c r="CV89" s="303"/>
      <c r="CW89" s="303"/>
      <c r="CX89" s="303"/>
      <c r="CY89" s="303"/>
      <c r="CZ89" s="303"/>
      <c r="DA89" s="303"/>
      <c r="DB89" s="303"/>
      <c r="DC89" s="303"/>
      <c r="DD89" s="303"/>
      <c r="DE89" s="303"/>
      <c r="DF89" s="303"/>
      <c r="DG89" s="303"/>
      <c r="DH89" s="303"/>
      <c r="DI89" s="303"/>
      <c r="DJ89" s="303"/>
      <c r="DK89" s="303"/>
      <c r="DL89" s="303"/>
      <c r="DM89" s="303"/>
      <c r="DN89" s="303"/>
      <c r="DO89" s="303"/>
      <c r="DP89" s="303"/>
      <c r="DQ89" s="303"/>
      <c r="DR89" s="303"/>
      <c r="DS89" s="303"/>
      <c r="DT89" s="303"/>
      <c r="DU89" s="303"/>
      <c r="DV89" s="303"/>
      <c r="DW89" s="303"/>
      <c r="DX89" s="303"/>
      <c r="DY89" s="303"/>
      <c r="DZ89" s="303"/>
      <c r="EA89" s="303"/>
      <c r="EB89" s="303"/>
      <c r="EC89" s="303"/>
      <c r="ED89" s="303"/>
      <c r="EE89" s="303"/>
      <c r="EF89" s="303"/>
      <c r="EG89" s="303"/>
      <c r="EH89" s="303"/>
      <c r="EI89" s="303"/>
      <c r="EJ89" s="303"/>
      <c r="EK89" s="303"/>
      <c r="EL89" s="303"/>
      <c r="EM89" s="303"/>
      <c r="EN89" s="303"/>
      <c r="EO89" s="303"/>
      <c r="EP89" s="303"/>
      <c r="EQ89" s="303"/>
      <c r="ER89" s="303"/>
      <c r="ES89" s="303"/>
      <c r="ET89" s="303"/>
      <c r="EU89" s="303"/>
      <c r="EV89" s="303"/>
      <c r="EW89" s="303"/>
      <c r="EX89" s="303"/>
      <c r="EY89" s="303"/>
      <c r="EZ89" s="303"/>
      <c r="FA89" s="303"/>
      <c r="FB89" s="303"/>
      <c r="FC89" s="303"/>
      <c r="FD89" s="303"/>
      <c r="FE89" s="303"/>
      <c r="FF89" s="303"/>
      <c r="FG89" s="303"/>
      <c r="FH89" s="303"/>
      <c r="FI89" s="303"/>
      <c r="FJ89" s="303"/>
      <c r="FK89" s="303"/>
      <c r="FL89" s="303"/>
      <c r="FM89" s="303"/>
      <c r="FN89" s="303"/>
      <c r="FO89" s="303"/>
      <c r="FP89" s="303"/>
      <c r="FQ89" s="303"/>
      <c r="FR89" s="303"/>
      <c r="FS89" s="303"/>
      <c r="FT89" s="303"/>
      <c r="FU89" s="303"/>
      <c r="FV89" s="303"/>
      <c r="FW89" s="303"/>
      <c r="FX89" s="303"/>
      <c r="FY89" s="303"/>
      <c r="FZ89" s="303"/>
      <c r="GA89" s="303"/>
      <c r="GB89" s="303"/>
      <c r="GC89" s="303"/>
      <c r="GD89" s="303"/>
      <c r="GE89" s="303"/>
      <c r="GF89" s="303"/>
      <c r="GG89" s="303"/>
      <c r="GH89" s="303"/>
      <c r="GI89" s="303"/>
      <c r="GJ89" s="303"/>
      <c r="GK89" s="303"/>
      <c r="GL89" s="303"/>
      <c r="GM89" s="303"/>
      <c r="GN89" s="303"/>
      <c r="GO89" s="303"/>
      <c r="GP89" s="303"/>
      <c r="GQ89" s="303"/>
      <c r="GR89" s="303"/>
      <c r="GS89" s="303"/>
      <c r="GT89" s="303"/>
      <c r="GU89" s="303"/>
      <c r="GV89" s="303"/>
      <c r="GW89" s="303"/>
      <c r="GX89" s="303"/>
      <c r="GY89" s="303"/>
    </row>
    <row r="90" spans="1:207" s="640" customFormat="1">
      <c r="A90" s="629" t="s">
        <v>33</v>
      </c>
      <c r="B90" s="705" t="s">
        <v>267</v>
      </c>
      <c r="C90" s="630">
        <f t="shared" ref="C90:H90" si="14">SUM(C91:C93)</f>
        <v>0</v>
      </c>
      <c r="D90" s="680">
        <f t="shared" si="14"/>
        <v>0</v>
      </c>
      <c r="E90" s="18">
        <f t="shared" si="14"/>
        <v>0</v>
      </c>
      <c r="F90" s="18">
        <f t="shared" si="14"/>
        <v>0</v>
      </c>
      <c r="G90" s="18">
        <f t="shared" si="14"/>
        <v>0</v>
      </c>
      <c r="H90" s="18">
        <f t="shared" si="14"/>
        <v>0</v>
      </c>
      <c r="I90" s="1360">
        <f t="shared" ref="I90" si="15">SUM(I91:I93)</f>
        <v>0</v>
      </c>
      <c r="J90" s="631"/>
      <c r="K90" s="631"/>
      <c r="L90" s="1270">
        <f>SUM(L91:L93)</f>
        <v>0</v>
      </c>
      <c r="M90" s="631"/>
      <c r="N90" s="631"/>
      <c r="O90" s="632">
        <f>SUM(O91:O93)</f>
        <v>0</v>
      </c>
      <c r="P90" s="1438"/>
      <c r="Q90" s="1438"/>
      <c r="R90" s="1438"/>
      <c r="S90" s="1438"/>
      <c r="T90" s="1438"/>
      <c r="U90" s="1438"/>
      <c r="V90" s="1438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4"/>
      <c r="BZ90" s="304"/>
      <c r="CA90" s="304"/>
      <c r="CB90" s="304"/>
      <c r="CC90" s="304"/>
      <c r="CD90" s="304"/>
      <c r="CE90" s="304"/>
      <c r="CF90" s="304"/>
      <c r="CG90" s="304"/>
      <c r="CH90" s="304"/>
      <c r="CI90" s="304"/>
      <c r="CJ90" s="304"/>
      <c r="CK90" s="304"/>
      <c r="CL90" s="304"/>
      <c r="CM90" s="304"/>
      <c r="CN90" s="304"/>
      <c r="CO90" s="304"/>
      <c r="CP90" s="304"/>
      <c r="CQ90" s="304"/>
      <c r="CR90" s="304"/>
      <c r="CS90" s="304"/>
      <c r="CT90" s="304"/>
      <c r="CU90" s="304"/>
      <c r="CV90" s="304"/>
      <c r="CW90" s="304"/>
      <c r="CX90" s="304"/>
      <c r="CY90" s="304"/>
      <c r="CZ90" s="304"/>
      <c r="DA90" s="304"/>
      <c r="DB90" s="304"/>
      <c r="DC90" s="304"/>
      <c r="DD90" s="304"/>
      <c r="DE90" s="304"/>
      <c r="DF90" s="304"/>
      <c r="DG90" s="304"/>
      <c r="DH90" s="304"/>
      <c r="DI90" s="304"/>
      <c r="DJ90" s="304"/>
      <c r="DK90" s="304"/>
      <c r="DL90" s="304"/>
      <c r="DM90" s="304"/>
      <c r="DN90" s="304"/>
      <c r="DO90" s="304"/>
      <c r="DP90" s="304"/>
      <c r="DQ90" s="304"/>
      <c r="DR90" s="304"/>
      <c r="DS90" s="304"/>
      <c r="DT90" s="304"/>
      <c r="DU90" s="304"/>
      <c r="DV90" s="304"/>
      <c r="DW90" s="304"/>
      <c r="DX90" s="304"/>
      <c r="DY90" s="304"/>
      <c r="DZ90" s="304"/>
      <c r="EA90" s="304"/>
      <c r="EB90" s="304"/>
      <c r="EC90" s="304"/>
      <c r="ED90" s="304"/>
      <c r="EE90" s="304"/>
      <c r="EF90" s="304"/>
      <c r="EG90" s="304"/>
      <c r="EH90" s="304"/>
      <c r="EI90" s="304"/>
      <c r="EJ90" s="304"/>
      <c r="EK90" s="304"/>
      <c r="EL90" s="304"/>
      <c r="EM90" s="304"/>
      <c r="EN90" s="304"/>
      <c r="EO90" s="304"/>
      <c r="EP90" s="304"/>
      <c r="EQ90" s="304"/>
      <c r="ER90" s="304"/>
      <c r="ES90" s="304"/>
      <c r="ET90" s="304"/>
      <c r="EU90" s="304"/>
      <c r="EV90" s="304"/>
      <c r="EW90" s="304"/>
      <c r="EX90" s="304"/>
      <c r="EY90" s="304"/>
      <c r="EZ90" s="304"/>
      <c r="FA90" s="304"/>
      <c r="FB90" s="304"/>
      <c r="FC90" s="304"/>
      <c r="FD90" s="304"/>
      <c r="FE90" s="304"/>
      <c r="FF90" s="304"/>
      <c r="FG90" s="304"/>
      <c r="FH90" s="304"/>
      <c r="FI90" s="304"/>
      <c r="FJ90" s="304"/>
      <c r="FK90" s="304"/>
      <c r="FL90" s="304"/>
      <c r="FM90" s="304"/>
      <c r="FN90" s="304"/>
      <c r="FO90" s="304"/>
      <c r="FP90" s="304"/>
      <c r="FQ90" s="304"/>
      <c r="FR90" s="304"/>
      <c r="FS90" s="304"/>
      <c r="FT90" s="304"/>
      <c r="FU90" s="304"/>
      <c r="FV90" s="304"/>
      <c r="FW90" s="304"/>
      <c r="FX90" s="304"/>
      <c r="FY90" s="304"/>
      <c r="FZ90" s="304"/>
      <c r="GA90" s="304"/>
      <c r="GB90" s="304"/>
      <c r="GC90" s="304"/>
      <c r="GD90" s="304"/>
      <c r="GE90" s="304"/>
      <c r="GF90" s="304"/>
      <c r="GG90" s="304"/>
      <c r="GH90" s="304"/>
      <c r="GI90" s="304"/>
      <c r="GJ90" s="304"/>
      <c r="GK90" s="304"/>
      <c r="GL90" s="304"/>
      <c r="GM90" s="304"/>
      <c r="GN90" s="304"/>
      <c r="GO90" s="304"/>
      <c r="GP90" s="304"/>
      <c r="GQ90" s="304"/>
      <c r="GR90" s="304"/>
      <c r="GS90" s="304"/>
      <c r="GT90" s="304"/>
      <c r="GU90" s="304"/>
      <c r="GV90" s="304"/>
      <c r="GW90" s="304"/>
      <c r="GX90" s="304"/>
      <c r="GY90" s="304"/>
    </row>
    <row r="91" spans="1:207" s="639" customFormat="1" hidden="1" outlineLevel="1">
      <c r="A91" s="368" t="s">
        <v>34</v>
      </c>
      <c r="B91" s="675" t="s">
        <v>927</v>
      </c>
      <c r="C91" s="633"/>
      <c r="D91" s="681"/>
      <c r="E91" s="19"/>
      <c r="F91" s="19"/>
      <c r="G91" s="19"/>
      <c r="H91" s="19"/>
      <c r="I91" s="1361"/>
      <c r="J91" s="303"/>
      <c r="K91" s="303"/>
      <c r="L91" s="1383"/>
      <c r="M91" s="303"/>
      <c r="N91" s="303"/>
      <c r="O91" s="303"/>
      <c r="P91" s="1437"/>
      <c r="Q91" s="1437"/>
      <c r="R91" s="1437"/>
      <c r="S91" s="1437"/>
      <c r="T91" s="1437"/>
      <c r="U91" s="1437"/>
      <c r="V91" s="1437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  <c r="BK91" s="303"/>
      <c r="BL91" s="303"/>
      <c r="BM91" s="303"/>
      <c r="BN91" s="303"/>
      <c r="BO91" s="303"/>
      <c r="BP91" s="303"/>
      <c r="BQ91" s="303"/>
      <c r="BR91" s="303"/>
      <c r="BS91" s="303"/>
      <c r="BT91" s="303"/>
      <c r="BU91" s="303"/>
      <c r="BV91" s="303"/>
      <c r="BW91" s="303"/>
      <c r="BX91" s="303"/>
      <c r="BY91" s="303"/>
      <c r="BZ91" s="303"/>
      <c r="CA91" s="303"/>
      <c r="CB91" s="303"/>
      <c r="CC91" s="303"/>
      <c r="CD91" s="303"/>
      <c r="CE91" s="303"/>
      <c r="CF91" s="303"/>
      <c r="CG91" s="303"/>
      <c r="CH91" s="303"/>
      <c r="CI91" s="303"/>
      <c r="CJ91" s="303"/>
      <c r="CK91" s="303"/>
      <c r="CL91" s="303"/>
      <c r="CM91" s="303"/>
      <c r="CN91" s="303"/>
      <c r="CO91" s="303"/>
      <c r="CP91" s="303"/>
      <c r="CQ91" s="303"/>
      <c r="CR91" s="303"/>
      <c r="CS91" s="303"/>
      <c r="CT91" s="303"/>
      <c r="CU91" s="303"/>
      <c r="CV91" s="303"/>
      <c r="CW91" s="303"/>
      <c r="CX91" s="303"/>
      <c r="CY91" s="303"/>
      <c r="CZ91" s="303"/>
      <c r="DA91" s="303"/>
      <c r="DB91" s="303"/>
      <c r="DC91" s="303"/>
      <c r="DD91" s="303"/>
      <c r="DE91" s="303"/>
      <c r="DF91" s="303"/>
      <c r="DG91" s="303"/>
      <c r="DH91" s="303"/>
      <c r="DI91" s="303"/>
      <c r="DJ91" s="303"/>
      <c r="DK91" s="303"/>
      <c r="DL91" s="303"/>
      <c r="DM91" s="303"/>
      <c r="DN91" s="303"/>
      <c r="DO91" s="303"/>
      <c r="DP91" s="303"/>
      <c r="DQ91" s="303"/>
      <c r="DR91" s="303"/>
      <c r="DS91" s="303"/>
      <c r="DT91" s="303"/>
      <c r="DU91" s="303"/>
      <c r="DV91" s="303"/>
      <c r="DW91" s="303"/>
      <c r="DX91" s="303"/>
      <c r="DY91" s="303"/>
      <c r="DZ91" s="303"/>
      <c r="EA91" s="303"/>
      <c r="EB91" s="303"/>
      <c r="EC91" s="303"/>
      <c r="ED91" s="303"/>
      <c r="EE91" s="303"/>
      <c r="EF91" s="303"/>
      <c r="EG91" s="303"/>
      <c r="EH91" s="303"/>
      <c r="EI91" s="303"/>
      <c r="EJ91" s="303"/>
      <c r="EK91" s="303"/>
      <c r="EL91" s="303"/>
      <c r="EM91" s="303"/>
      <c r="EN91" s="303"/>
      <c r="EO91" s="303"/>
      <c r="EP91" s="303"/>
      <c r="EQ91" s="303"/>
      <c r="ER91" s="303"/>
      <c r="ES91" s="303"/>
      <c r="ET91" s="303"/>
      <c r="EU91" s="303"/>
      <c r="EV91" s="303"/>
      <c r="EW91" s="303"/>
      <c r="EX91" s="303"/>
      <c r="EY91" s="303"/>
      <c r="EZ91" s="303"/>
      <c r="FA91" s="303"/>
      <c r="FB91" s="303"/>
      <c r="FC91" s="303"/>
      <c r="FD91" s="303"/>
      <c r="FE91" s="303"/>
      <c r="FF91" s="303"/>
      <c r="FG91" s="303"/>
      <c r="FH91" s="303"/>
      <c r="FI91" s="303"/>
      <c r="FJ91" s="303"/>
      <c r="FK91" s="303"/>
      <c r="FL91" s="303"/>
      <c r="FM91" s="303"/>
      <c r="FN91" s="303"/>
      <c r="FO91" s="303"/>
      <c r="FP91" s="303"/>
      <c r="FQ91" s="303"/>
      <c r="FR91" s="303"/>
      <c r="FS91" s="303"/>
      <c r="FT91" s="303"/>
      <c r="FU91" s="303"/>
      <c r="FV91" s="303"/>
      <c r="FW91" s="303"/>
      <c r="FX91" s="303"/>
      <c r="FY91" s="303"/>
      <c r="FZ91" s="303"/>
      <c r="GA91" s="303"/>
      <c r="GB91" s="303"/>
      <c r="GC91" s="303"/>
      <c r="GD91" s="303"/>
      <c r="GE91" s="303"/>
      <c r="GF91" s="303"/>
      <c r="GG91" s="303"/>
      <c r="GH91" s="303"/>
      <c r="GI91" s="303"/>
      <c r="GJ91" s="303"/>
      <c r="GK91" s="303"/>
      <c r="GL91" s="303"/>
      <c r="GM91" s="303"/>
      <c r="GN91" s="303"/>
      <c r="GO91" s="303"/>
      <c r="GP91" s="303"/>
      <c r="GQ91" s="303"/>
      <c r="GR91" s="303"/>
      <c r="GS91" s="303"/>
      <c r="GT91" s="303"/>
      <c r="GU91" s="303"/>
      <c r="GV91" s="303"/>
      <c r="GW91" s="303"/>
      <c r="GX91" s="303"/>
      <c r="GY91" s="303"/>
    </row>
    <row r="92" spans="1:207" s="639" customFormat="1" hidden="1" outlineLevel="1">
      <c r="A92" s="368" t="s">
        <v>35</v>
      </c>
      <c r="B92" s="675"/>
      <c r="C92" s="633"/>
      <c r="D92" s="681"/>
      <c r="E92" s="19"/>
      <c r="F92" s="19"/>
      <c r="G92" s="19"/>
      <c r="H92" s="19"/>
      <c r="I92" s="1361"/>
      <c r="J92" s="303"/>
      <c r="K92" s="303"/>
      <c r="L92" s="1383"/>
      <c r="M92" s="303"/>
      <c r="N92" s="303"/>
      <c r="O92" s="303"/>
      <c r="P92" s="1437"/>
      <c r="Q92" s="1437"/>
      <c r="R92" s="1437"/>
      <c r="S92" s="1437"/>
      <c r="T92" s="1437"/>
      <c r="U92" s="1437"/>
      <c r="V92" s="1437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  <c r="BK92" s="303"/>
      <c r="BL92" s="303"/>
      <c r="BM92" s="303"/>
      <c r="BN92" s="303"/>
      <c r="BO92" s="30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3"/>
      <c r="BZ92" s="303"/>
      <c r="CA92" s="303"/>
      <c r="CB92" s="303"/>
      <c r="CC92" s="303"/>
      <c r="CD92" s="303"/>
      <c r="CE92" s="303"/>
      <c r="CF92" s="303"/>
      <c r="CG92" s="303"/>
      <c r="CH92" s="303"/>
      <c r="CI92" s="303"/>
      <c r="CJ92" s="303"/>
      <c r="CK92" s="303"/>
      <c r="CL92" s="303"/>
      <c r="CM92" s="303"/>
      <c r="CN92" s="303"/>
      <c r="CO92" s="303"/>
      <c r="CP92" s="303"/>
      <c r="CQ92" s="303"/>
      <c r="CR92" s="303"/>
      <c r="CS92" s="303"/>
      <c r="CT92" s="303"/>
      <c r="CU92" s="303"/>
      <c r="CV92" s="303"/>
      <c r="CW92" s="303"/>
      <c r="CX92" s="303"/>
      <c r="CY92" s="303"/>
      <c r="CZ92" s="303"/>
      <c r="DA92" s="303"/>
      <c r="DB92" s="303"/>
      <c r="DC92" s="303"/>
      <c r="DD92" s="303"/>
      <c r="DE92" s="303"/>
      <c r="DF92" s="303"/>
      <c r="DG92" s="303"/>
      <c r="DH92" s="303"/>
      <c r="DI92" s="303"/>
      <c r="DJ92" s="303"/>
      <c r="DK92" s="303"/>
      <c r="DL92" s="303"/>
      <c r="DM92" s="303"/>
      <c r="DN92" s="303"/>
      <c r="DO92" s="303"/>
      <c r="DP92" s="303"/>
      <c r="DQ92" s="303"/>
      <c r="DR92" s="303"/>
      <c r="DS92" s="303"/>
      <c r="DT92" s="303"/>
      <c r="DU92" s="303"/>
      <c r="DV92" s="303"/>
      <c r="DW92" s="303"/>
      <c r="DX92" s="303"/>
      <c r="DY92" s="303"/>
      <c r="DZ92" s="303"/>
      <c r="EA92" s="303"/>
      <c r="EB92" s="303"/>
      <c r="EC92" s="303"/>
      <c r="ED92" s="303"/>
      <c r="EE92" s="303"/>
      <c r="EF92" s="303"/>
      <c r="EG92" s="303"/>
      <c r="EH92" s="303"/>
      <c r="EI92" s="303"/>
      <c r="EJ92" s="303"/>
      <c r="EK92" s="303"/>
      <c r="EL92" s="303"/>
      <c r="EM92" s="303"/>
      <c r="EN92" s="303"/>
      <c r="EO92" s="303"/>
      <c r="EP92" s="303"/>
      <c r="EQ92" s="303"/>
      <c r="ER92" s="303"/>
      <c r="ES92" s="303"/>
      <c r="ET92" s="303"/>
      <c r="EU92" s="303"/>
      <c r="EV92" s="303"/>
      <c r="EW92" s="303"/>
      <c r="EX92" s="303"/>
      <c r="EY92" s="303"/>
      <c r="EZ92" s="303"/>
      <c r="FA92" s="303"/>
      <c r="FB92" s="303"/>
      <c r="FC92" s="303"/>
      <c r="FD92" s="303"/>
      <c r="FE92" s="303"/>
      <c r="FF92" s="303"/>
      <c r="FG92" s="303"/>
      <c r="FH92" s="303"/>
      <c r="FI92" s="303"/>
      <c r="FJ92" s="303"/>
      <c r="FK92" s="303"/>
      <c r="FL92" s="303"/>
      <c r="FM92" s="303"/>
      <c r="FN92" s="303"/>
      <c r="FO92" s="303"/>
      <c r="FP92" s="303"/>
      <c r="FQ92" s="303"/>
      <c r="FR92" s="303"/>
      <c r="FS92" s="303"/>
      <c r="FT92" s="303"/>
      <c r="FU92" s="303"/>
      <c r="FV92" s="303"/>
      <c r="FW92" s="303"/>
      <c r="FX92" s="303"/>
      <c r="FY92" s="303"/>
      <c r="FZ92" s="303"/>
      <c r="GA92" s="303"/>
      <c r="GB92" s="303"/>
      <c r="GC92" s="303"/>
      <c r="GD92" s="303"/>
      <c r="GE92" s="303"/>
      <c r="GF92" s="303"/>
      <c r="GG92" s="303"/>
      <c r="GH92" s="303"/>
      <c r="GI92" s="303"/>
      <c r="GJ92" s="303"/>
      <c r="GK92" s="303"/>
      <c r="GL92" s="303"/>
      <c r="GM92" s="303"/>
      <c r="GN92" s="303"/>
      <c r="GO92" s="303"/>
      <c r="GP92" s="303"/>
      <c r="GQ92" s="303"/>
      <c r="GR92" s="303"/>
      <c r="GS92" s="303"/>
      <c r="GT92" s="303"/>
      <c r="GU92" s="303"/>
      <c r="GV92" s="303"/>
      <c r="GW92" s="303"/>
      <c r="GX92" s="303"/>
      <c r="GY92" s="303"/>
    </row>
    <row r="93" spans="1:207" s="639" customFormat="1" hidden="1" outlineLevel="1">
      <c r="A93" s="368" t="s">
        <v>109</v>
      </c>
      <c r="B93" s="675"/>
      <c r="C93" s="633"/>
      <c r="D93" s="681"/>
      <c r="E93" s="19"/>
      <c r="F93" s="19"/>
      <c r="G93" s="19"/>
      <c r="H93" s="19"/>
      <c r="I93" s="1361"/>
      <c r="J93" s="303"/>
      <c r="K93" s="303"/>
      <c r="L93" s="1383"/>
      <c r="M93" s="303"/>
      <c r="N93" s="303"/>
      <c r="O93" s="303"/>
      <c r="P93" s="1437"/>
      <c r="Q93" s="1437"/>
      <c r="R93" s="1437"/>
      <c r="S93" s="1437"/>
      <c r="T93" s="1437"/>
      <c r="U93" s="1437"/>
      <c r="V93" s="1437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  <c r="BK93" s="303"/>
      <c r="BL93" s="303"/>
      <c r="BM93" s="303"/>
      <c r="BN93" s="303"/>
      <c r="BO93" s="303"/>
      <c r="BP93" s="303"/>
      <c r="BQ93" s="303"/>
      <c r="BR93" s="303"/>
      <c r="BS93" s="303"/>
      <c r="BT93" s="303"/>
      <c r="BU93" s="303"/>
      <c r="BV93" s="303"/>
      <c r="BW93" s="303"/>
      <c r="BX93" s="303"/>
      <c r="BY93" s="303"/>
      <c r="BZ93" s="303"/>
      <c r="CA93" s="303"/>
      <c r="CB93" s="303"/>
      <c r="CC93" s="303"/>
      <c r="CD93" s="303"/>
      <c r="CE93" s="303"/>
      <c r="CF93" s="303"/>
      <c r="CG93" s="303"/>
      <c r="CH93" s="303"/>
      <c r="CI93" s="303"/>
      <c r="CJ93" s="303"/>
      <c r="CK93" s="303"/>
      <c r="CL93" s="303"/>
      <c r="CM93" s="303"/>
      <c r="CN93" s="303"/>
      <c r="CO93" s="303"/>
      <c r="CP93" s="303"/>
      <c r="CQ93" s="303"/>
      <c r="CR93" s="303"/>
      <c r="CS93" s="303"/>
      <c r="CT93" s="303"/>
      <c r="CU93" s="303"/>
      <c r="CV93" s="303"/>
      <c r="CW93" s="303"/>
      <c r="CX93" s="303"/>
      <c r="CY93" s="303"/>
      <c r="CZ93" s="303"/>
      <c r="DA93" s="303"/>
      <c r="DB93" s="303"/>
      <c r="DC93" s="303"/>
      <c r="DD93" s="303"/>
      <c r="DE93" s="303"/>
      <c r="DF93" s="303"/>
      <c r="DG93" s="303"/>
      <c r="DH93" s="303"/>
      <c r="DI93" s="303"/>
      <c r="DJ93" s="303"/>
      <c r="DK93" s="303"/>
      <c r="DL93" s="303"/>
      <c r="DM93" s="303"/>
      <c r="DN93" s="303"/>
      <c r="DO93" s="303"/>
      <c r="DP93" s="303"/>
      <c r="DQ93" s="303"/>
      <c r="DR93" s="303"/>
      <c r="DS93" s="303"/>
      <c r="DT93" s="303"/>
      <c r="DU93" s="303"/>
      <c r="DV93" s="303"/>
      <c r="DW93" s="303"/>
      <c r="DX93" s="303"/>
      <c r="DY93" s="303"/>
      <c r="DZ93" s="303"/>
      <c r="EA93" s="303"/>
      <c r="EB93" s="303"/>
      <c r="EC93" s="303"/>
      <c r="ED93" s="303"/>
      <c r="EE93" s="303"/>
      <c r="EF93" s="303"/>
      <c r="EG93" s="303"/>
      <c r="EH93" s="303"/>
      <c r="EI93" s="303"/>
      <c r="EJ93" s="303"/>
      <c r="EK93" s="303"/>
      <c r="EL93" s="303"/>
      <c r="EM93" s="303"/>
      <c r="EN93" s="303"/>
      <c r="EO93" s="303"/>
      <c r="EP93" s="303"/>
      <c r="EQ93" s="303"/>
      <c r="ER93" s="303"/>
      <c r="ES93" s="303"/>
      <c r="ET93" s="303"/>
      <c r="EU93" s="303"/>
      <c r="EV93" s="303"/>
      <c r="EW93" s="303"/>
      <c r="EX93" s="303"/>
      <c r="EY93" s="303"/>
      <c r="EZ93" s="303"/>
      <c r="FA93" s="303"/>
      <c r="FB93" s="303"/>
      <c r="FC93" s="303"/>
      <c r="FD93" s="303"/>
      <c r="FE93" s="303"/>
      <c r="FF93" s="303"/>
      <c r="FG93" s="303"/>
      <c r="FH93" s="303"/>
      <c r="FI93" s="303"/>
      <c r="FJ93" s="303"/>
      <c r="FK93" s="303"/>
      <c r="FL93" s="303"/>
      <c r="FM93" s="303"/>
      <c r="FN93" s="303"/>
      <c r="FO93" s="303"/>
      <c r="FP93" s="303"/>
      <c r="FQ93" s="303"/>
      <c r="FR93" s="303"/>
      <c r="FS93" s="303"/>
      <c r="FT93" s="303"/>
      <c r="FU93" s="303"/>
      <c r="FV93" s="303"/>
      <c r="FW93" s="303"/>
      <c r="FX93" s="303"/>
      <c r="FY93" s="303"/>
      <c r="FZ93" s="303"/>
      <c r="GA93" s="303"/>
      <c r="GB93" s="303"/>
      <c r="GC93" s="303"/>
      <c r="GD93" s="303"/>
      <c r="GE93" s="303"/>
      <c r="GF93" s="303"/>
      <c r="GG93" s="303"/>
      <c r="GH93" s="303"/>
      <c r="GI93" s="303"/>
      <c r="GJ93" s="303"/>
      <c r="GK93" s="303"/>
      <c r="GL93" s="303"/>
      <c r="GM93" s="303"/>
      <c r="GN93" s="303"/>
      <c r="GO93" s="303"/>
      <c r="GP93" s="303"/>
      <c r="GQ93" s="303"/>
      <c r="GR93" s="303"/>
      <c r="GS93" s="303"/>
      <c r="GT93" s="303"/>
      <c r="GU93" s="303"/>
      <c r="GV93" s="303"/>
      <c r="GW93" s="303"/>
      <c r="GX93" s="303"/>
      <c r="GY93" s="303"/>
    </row>
    <row r="94" spans="1:207" s="639" customFormat="1" collapsed="1">
      <c r="A94" s="629" t="s">
        <v>58</v>
      </c>
      <c r="B94" s="705" t="s">
        <v>244</v>
      </c>
      <c r="C94" s="630">
        <f>SUM(C95:C97)</f>
        <v>0</v>
      </c>
      <c r="D94" s="680">
        <f>SUM(D95:D97)</f>
        <v>0</v>
      </c>
      <c r="E94" s="18">
        <f t="shared" ref="E94:H94" si="16">SUM(E95:E97)</f>
        <v>0</v>
      </c>
      <c r="F94" s="18">
        <f t="shared" si="16"/>
        <v>0</v>
      </c>
      <c r="G94" s="18">
        <f t="shared" si="16"/>
        <v>0</v>
      </c>
      <c r="H94" s="18">
        <f t="shared" si="16"/>
        <v>0</v>
      </c>
      <c r="I94" s="1360">
        <f t="shared" ref="I94" si="17">SUM(I95:I97)</f>
        <v>0</v>
      </c>
      <c r="J94" s="303"/>
      <c r="K94" s="303"/>
      <c r="L94" s="1383"/>
      <c r="M94" s="303"/>
      <c r="N94" s="303"/>
      <c r="O94" s="303"/>
      <c r="P94" s="1437"/>
      <c r="Q94" s="1437"/>
      <c r="R94" s="1437"/>
      <c r="S94" s="1437"/>
      <c r="T94" s="1437"/>
      <c r="U94" s="1437"/>
      <c r="V94" s="1437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  <c r="BK94" s="303"/>
      <c r="BL94" s="303"/>
      <c r="BM94" s="303"/>
      <c r="BN94" s="303"/>
      <c r="BO94" s="303"/>
      <c r="BP94" s="303"/>
      <c r="BQ94" s="303"/>
      <c r="BR94" s="303"/>
      <c r="BS94" s="303"/>
      <c r="BT94" s="303"/>
      <c r="BU94" s="303"/>
      <c r="BV94" s="303"/>
      <c r="BW94" s="303"/>
      <c r="BX94" s="303"/>
      <c r="BY94" s="303"/>
      <c r="BZ94" s="303"/>
      <c r="CA94" s="303"/>
      <c r="CB94" s="303"/>
      <c r="CC94" s="303"/>
      <c r="CD94" s="303"/>
      <c r="CE94" s="303"/>
      <c r="CF94" s="303"/>
      <c r="CG94" s="303"/>
      <c r="CH94" s="303"/>
      <c r="CI94" s="303"/>
      <c r="CJ94" s="303"/>
      <c r="CK94" s="303"/>
      <c r="CL94" s="303"/>
      <c r="CM94" s="303"/>
      <c r="CN94" s="303"/>
      <c r="CO94" s="303"/>
      <c r="CP94" s="303"/>
      <c r="CQ94" s="303"/>
      <c r="CR94" s="303"/>
      <c r="CS94" s="303"/>
      <c r="CT94" s="303"/>
      <c r="CU94" s="303"/>
      <c r="CV94" s="303"/>
      <c r="CW94" s="303"/>
      <c r="CX94" s="303"/>
      <c r="CY94" s="303"/>
      <c r="CZ94" s="303"/>
      <c r="DA94" s="303"/>
      <c r="DB94" s="303"/>
      <c r="DC94" s="303"/>
      <c r="DD94" s="303"/>
      <c r="DE94" s="303"/>
      <c r="DF94" s="303"/>
      <c r="DG94" s="303"/>
      <c r="DH94" s="303"/>
      <c r="DI94" s="303"/>
      <c r="DJ94" s="303"/>
      <c r="DK94" s="303"/>
      <c r="DL94" s="303"/>
      <c r="DM94" s="303"/>
      <c r="DN94" s="303"/>
      <c r="DO94" s="303"/>
      <c r="DP94" s="303"/>
      <c r="DQ94" s="303"/>
      <c r="DR94" s="303"/>
      <c r="DS94" s="303"/>
      <c r="DT94" s="303"/>
      <c r="DU94" s="303"/>
      <c r="DV94" s="303"/>
      <c r="DW94" s="303"/>
      <c r="DX94" s="303"/>
      <c r="DY94" s="303"/>
      <c r="DZ94" s="303"/>
      <c r="EA94" s="303"/>
      <c r="EB94" s="303"/>
      <c r="EC94" s="303"/>
      <c r="ED94" s="303"/>
      <c r="EE94" s="303"/>
      <c r="EF94" s="303"/>
      <c r="EG94" s="303"/>
      <c r="EH94" s="303"/>
      <c r="EI94" s="303"/>
      <c r="EJ94" s="303"/>
      <c r="EK94" s="303"/>
      <c r="EL94" s="303"/>
      <c r="EM94" s="303"/>
      <c r="EN94" s="303"/>
      <c r="EO94" s="303"/>
      <c r="EP94" s="303"/>
      <c r="EQ94" s="303"/>
      <c r="ER94" s="303"/>
      <c r="ES94" s="303"/>
      <c r="ET94" s="303"/>
      <c r="EU94" s="303"/>
      <c r="EV94" s="303"/>
      <c r="EW94" s="303"/>
      <c r="EX94" s="303"/>
      <c r="EY94" s="303"/>
      <c r="EZ94" s="303"/>
      <c r="FA94" s="303"/>
      <c r="FB94" s="303"/>
      <c r="FC94" s="303"/>
      <c r="FD94" s="303"/>
      <c r="FE94" s="303"/>
      <c r="FF94" s="303"/>
      <c r="FG94" s="303"/>
      <c r="FH94" s="303"/>
      <c r="FI94" s="303"/>
      <c r="FJ94" s="303"/>
      <c r="FK94" s="303"/>
      <c r="FL94" s="303"/>
      <c r="FM94" s="303"/>
      <c r="FN94" s="303"/>
      <c r="FO94" s="303"/>
      <c r="FP94" s="303"/>
      <c r="FQ94" s="303"/>
      <c r="FR94" s="303"/>
      <c r="FS94" s="303"/>
      <c r="FT94" s="303"/>
      <c r="FU94" s="303"/>
      <c r="FV94" s="303"/>
      <c r="FW94" s="303"/>
      <c r="FX94" s="303"/>
      <c r="FY94" s="303"/>
      <c r="FZ94" s="303"/>
      <c r="GA94" s="303"/>
      <c r="GB94" s="303"/>
      <c r="GC94" s="303"/>
      <c r="GD94" s="303"/>
      <c r="GE94" s="303"/>
      <c r="GF94" s="303"/>
      <c r="GG94" s="303"/>
      <c r="GH94" s="303"/>
      <c r="GI94" s="303"/>
      <c r="GJ94" s="303"/>
      <c r="GK94" s="303"/>
      <c r="GL94" s="303"/>
      <c r="GM94" s="303"/>
      <c r="GN94" s="303"/>
      <c r="GO94" s="303"/>
      <c r="GP94" s="303"/>
      <c r="GQ94" s="303"/>
      <c r="GR94" s="303"/>
      <c r="GS94" s="303"/>
      <c r="GT94" s="303"/>
      <c r="GU94" s="303"/>
      <c r="GV94" s="303"/>
      <c r="GW94" s="303"/>
      <c r="GX94" s="303"/>
      <c r="GY94" s="303"/>
    </row>
    <row r="95" spans="1:207" s="639" customFormat="1" hidden="1" outlineLevel="1">
      <c r="A95" s="368" t="s">
        <v>712</v>
      </c>
      <c r="B95" s="689" t="s">
        <v>928</v>
      </c>
      <c r="C95" s="633"/>
      <c r="D95" s="681"/>
      <c r="E95" s="19"/>
      <c r="F95" s="19"/>
      <c r="G95" s="19"/>
      <c r="H95" s="19"/>
      <c r="I95" s="1361"/>
      <c r="J95" s="303"/>
      <c r="K95" s="303"/>
      <c r="L95" s="1383"/>
      <c r="M95" s="303"/>
      <c r="N95" s="303"/>
      <c r="O95" s="303"/>
      <c r="P95" s="1437"/>
      <c r="Q95" s="1437"/>
      <c r="R95" s="1437"/>
      <c r="S95" s="1437"/>
      <c r="T95" s="1437"/>
      <c r="U95" s="1437"/>
      <c r="V95" s="1437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  <c r="BK95" s="303"/>
      <c r="BL95" s="303"/>
      <c r="BM95" s="303"/>
      <c r="BN95" s="303"/>
      <c r="BO95" s="303"/>
      <c r="BP95" s="303"/>
      <c r="BQ95" s="303"/>
      <c r="BR95" s="303"/>
      <c r="BS95" s="303"/>
      <c r="BT95" s="303"/>
      <c r="BU95" s="303"/>
      <c r="BV95" s="303"/>
      <c r="BW95" s="303"/>
      <c r="BX95" s="303"/>
      <c r="BY95" s="303"/>
      <c r="BZ95" s="303"/>
      <c r="CA95" s="303"/>
      <c r="CB95" s="303"/>
      <c r="CC95" s="303"/>
      <c r="CD95" s="303"/>
      <c r="CE95" s="303"/>
      <c r="CF95" s="303"/>
      <c r="CG95" s="303"/>
      <c r="CH95" s="303"/>
      <c r="CI95" s="303"/>
      <c r="CJ95" s="303"/>
      <c r="CK95" s="303"/>
      <c r="CL95" s="303"/>
      <c r="CM95" s="303"/>
      <c r="CN95" s="303"/>
      <c r="CO95" s="303"/>
      <c r="CP95" s="303"/>
      <c r="CQ95" s="303"/>
      <c r="CR95" s="303"/>
      <c r="CS95" s="303"/>
      <c r="CT95" s="303"/>
      <c r="CU95" s="303"/>
      <c r="CV95" s="303"/>
      <c r="CW95" s="303"/>
      <c r="CX95" s="303"/>
      <c r="CY95" s="303"/>
      <c r="CZ95" s="303"/>
      <c r="DA95" s="303"/>
      <c r="DB95" s="303"/>
      <c r="DC95" s="303"/>
      <c r="DD95" s="303"/>
      <c r="DE95" s="303"/>
      <c r="DF95" s="303"/>
      <c r="DG95" s="303"/>
      <c r="DH95" s="303"/>
      <c r="DI95" s="303"/>
      <c r="DJ95" s="303"/>
      <c r="DK95" s="303"/>
      <c r="DL95" s="303"/>
      <c r="DM95" s="303"/>
      <c r="DN95" s="303"/>
      <c r="DO95" s="303"/>
      <c r="DP95" s="303"/>
      <c r="DQ95" s="303"/>
      <c r="DR95" s="303"/>
      <c r="DS95" s="303"/>
      <c r="DT95" s="303"/>
      <c r="DU95" s="303"/>
      <c r="DV95" s="303"/>
      <c r="DW95" s="303"/>
      <c r="DX95" s="303"/>
      <c r="DY95" s="303"/>
      <c r="DZ95" s="303"/>
      <c r="EA95" s="303"/>
      <c r="EB95" s="303"/>
      <c r="EC95" s="303"/>
      <c r="ED95" s="303"/>
      <c r="EE95" s="303"/>
      <c r="EF95" s="303"/>
      <c r="EG95" s="303"/>
      <c r="EH95" s="303"/>
      <c r="EI95" s="303"/>
      <c r="EJ95" s="303"/>
      <c r="EK95" s="303"/>
      <c r="EL95" s="303"/>
      <c r="EM95" s="303"/>
      <c r="EN95" s="303"/>
      <c r="EO95" s="303"/>
      <c r="EP95" s="303"/>
      <c r="EQ95" s="303"/>
      <c r="ER95" s="303"/>
      <c r="ES95" s="303"/>
      <c r="ET95" s="303"/>
      <c r="EU95" s="303"/>
      <c r="EV95" s="303"/>
      <c r="EW95" s="303"/>
      <c r="EX95" s="303"/>
      <c r="EY95" s="303"/>
      <c r="EZ95" s="303"/>
      <c r="FA95" s="303"/>
      <c r="FB95" s="303"/>
      <c r="FC95" s="303"/>
      <c r="FD95" s="303"/>
      <c r="FE95" s="303"/>
      <c r="FF95" s="303"/>
      <c r="FG95" s="303"/>
      <c r="FH95" s="303"/>
      <c r="FI95" s="303"/>
      <c r="FJ95" s="303"/>
      <c r="FK95" s="303"/>
      <c r="FL95" s="303"/>
      <c r="FM95" s="303"/>
      <c r="FN95" s="303"/>
      <c r="FO95" s="303"/>
      <c r="FP95" s="303"/>
      <c r="FQ95" s="303"/>
      <c r="FR95" s="303"/>
      <c r="FS95" s="303"/>
      <c r="FT95" s="303"/>
      <c r="FU95" s="303"/>
      <c r="FV95" s="303"/>
      <c r="FW95" s="303"/>
      <c r="FX95" s="303"/>
      <c r="FY95" s="303"/>
      <c r="FZ95" s="303"/>
      <c r="GA95" s="303"/>
      <c r="GB95" s="303"/>
      <c r="GC95" s="303"/>
      <c r="GD95" s="303"/>
      <c r="GE95" s="303"/>
      <c r="GF95" s="303"/>
      <c r="GG95" s="303"/>
      <c r="GH95" s="303"/>
      <c r="GI95" s="303"/>
      <c r="GJ95" s="303"/>
      <c r="GK95" s="303"/>
      <c r="GL95" s="303"/>
      <c r="GM95" s="303"/>
      <c r="GN95" s="303"/>
      <c r="GO95" s="303"/>
      <c r="GP95" s="303"/>
      <c r="GQ95" s="303"/>
      <c r="GR95" s="303"/>
      <c r="GS95" s="303"/>
      <c r="GT95" s="303"/>
      <c r="GU95" s="303"/>
      <c r="GV95" s="303"/>
      <c r="GW95" s="303"/>
      <c r="GX95" s="303"/>
      <c r="GY95" s="303"/>
    </row>
    <row r="96" spans="1:207" s="639" customFormat="1" hidden="1" outlineLevel="1">
      <c r="A96" s="368" t="s">
        <v>713</v>
      </c>
      <c r="B96" s="706" t="s">
        <v>929</v>
      </c>
      <c r="C96" s="633"/>
      <c r="D96" s="681"/>
      <c r="E96" s="19"/>
      <c r="F96" s="19"/>
      <c r="G96" s="19"/>
      <c r="H96" s="19"/>
      <c r="I96" s="1361"/>
      <c r="J96" s="303"/>
      <c r="K96" s="303"/>
      <c r="L96" s="1383"/>
      <c r="M96" s="303"/>
      <c r="N96" s="303"/>
      <c r="O96" s="303"/>
      <c r="P96" s="1437"/>
      <c r="Q96" s="1437"/>
      <c r="R96" s="1437"/>
      <c r="S96" s="1437"/>
      <c r="T96" s="1437"/>
      <c r="U96" s="1437"/>
      <c r="V96" s="1437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  <c r="BK96" s="303"/>
      <c r="BL96" s="303"/>
      <c r="BM96" s="303"/>
      <c r="BN96" s="303"/>
      <c r="BO96" s="303"/>
      <c r="BP96" s="303"/>
      <c r="BQ96" s="303"/>
      <c r="BR96" s="303"/>
      <c r="BS96" s="303"/>
      <c r="BT96" s="303"/>
      <c r="BU96" s="303"/>
      <c r="BV96" s="303"/>
      <c r="BW96" s="303"/>
      <c r="BX96" s="303"/>
      <c r="BY96" s="303"/>
      <c r="BZ96" s="303"/>
      <c r="CA96" s="303"/>
      <c r="CB96" s="303"/>
      <c r="CC96" s="303"/>
      <c r="CD96" s="303"/>
      <c r="CE96" s="303"/>
      <c r="CF96" s="303"/>
      <c r="CG96" s="303"/>
      <c r="CH96" s="303"/>
      <c r="CI96" s="303"/>
      <c r="CJ96" s="303"/>
      <c r="CK96" s="303"/>
      <c r="CL96" s="303"/>
      <c r="CM96" s="303"/>
      <c r="CN96" s="303"/>
      <c r="CO96" s="303"/>
      <c r="CP96" s="303"/>
      <c r="CQ96" s="303"/>
      <c r="CR96" s="303"/>
      <c r="CS96" s="303"/>
      <c r="CT96" s="303"/>
      <c r="CU96" s="303"/>
      <c r="CV96" s="303"/>
      <c r="CW96" s="303"/>
      <c r="CX96" s="303"/>
      <c r="CY96" s="303"/>
      <c r="CZ96" s="303"/>
      <c r="DA96" s="303"/>
      <c r="DB96" s="303"/>
      <c r="DC96" s="303"/>
      <c r="DD96" s="303"/>
      <c r="DE96" s="303"/>
      <c r="DF96" s="303"/>
      <c r="DG96" s="303"/>
      <c r="DH96" s="303"/>
      <c r="DI96" s="303"/>
      <c r="DJ96" s="303"/>
      <c r="DK96" s="303"/>
      <c r="DL96" s="303"/>
      <c r="DM96" s="303"/>
      <c r="DN96" s="303"/>
      <c r="DO96" s="303"/>
      <c r="DP96" s="303"/>
      <c r="DQ96" s="303"/>
      <c r="DR96" s="303"/>
      <c r="DS96" s="303"/>
      <c r="DT96" s="303"/>
      <c r="DU96" s="303"/>
      <c r="DV96" s="303"/>
      <c r="DW96" s="303"/>
      <c r="DX96" s="303"/>
      <c r="DY96" s="303"/>
      <c r="DZ96" s="303"/>
      <c r="EA96" s="303"/>
      <c r="EB96" s="303"/>
      <c r="EC96" s="303"/>
      <c r="ED96" s="303"/>
      <c r="EE96" s="303"/>
      <c r="EF96" s="303"/>
      <c r="EG96" s="303"/>
      <c r="EH96" s="303"/>
      <c r="EI96" s="303"/>
      <c r="EJ96" s="303"/>
      <c r="EK96" s="303"/>
      <c r="EL96" s="303"/>
      <c r="EM96" s="303"/>
      <c r="EN96" s="303"/>
      <c r="EO96" s="303"/>
      <c r="EP96" s="303"/>
      <c r="EQ96" s="303"/>
      <c r="ER96" s="303"/>
      <c r="ES96" s="303"/>
      <c r="ET96" s="303"/>
      <c r="EU96" s="303"/>
      <c r="EV96" s="303"/>
      <c r="EW96" s="303"/>
      <c r="EX96" s="303"/>
      <c r="EY96" s="303"/>
      <c r="EZ96" s="303"/>
      <c r="FA96" s="303"/>
      <c r="FB96" s="303"/>
      <c r="FC96" s="303"/>
      <c r="FD96" s="303"/>
      <c r="FE96" s="303"/>
      <c r="FF96" s="303"/>
      <c r="FG96" s="303"/>
      <c r="FH96" s="303"/>
      <c r="FI96" s="303"/>
      <c r="FJ96" s="303"/>
      <c r="FK96" s="303"/>
      <c r="FL96" s="303"/>
      <c r="FM96" s="303"/>
      <c r="FN96" s="303"/>
      <c r="FO96" s="303"/>
      <c r="FP96" s="303"/>
      <c r="FQ96" s="303"/>
      <c r="FR96" s="303"/>
      <c r="FS96" s="303"/>
      <c r="FT96" s="303"/>
      <c r="FU96" s="303"/>
      <c r="FV96" s="303"/>
      <c r="FW96" s="303"/>
      <c r="FX96" s="303"/>
      <c r="FY96" s="303"/>
      <c r="FZ96" s="303"/>
      <c r="GA96" s="303"/>
      <c r="GB96" s="303"/>
      <c r="GC96" s="303"/>
      <c r="GD96" s="303"/>
      <c r="GE96" s="303"/>
      <c r="GF96" s="303"/>
      <c r="GG96" s="303"/>
      <c r="GH96" s="303"/>
      <c r="GI96" s="303"/>
      <c r="GJ96" s="303"/>
      <c r="GK96" s="303"/>
      <c r="GL96" s="303"/>
      <c r="GM96" s="303"/>
      <c r="GN96" s="303"/>
      <c r="GO96" s="303"/>
      <c r="GP96" s="303"/>
      <c r="GQ96" s="303"/>
      <c r="GR96" s="303"/>
      <c r="GS96" s="303"/>
      <c r="GT96" s="303"/>
      <c r="GU96" s="303"/>
      <c r="GV96" s="303"/>
      <c r="GW96" s="303"/>
      <c r="GX96" s="303"/>
      <c r="GY96" s="303"/>
    </row>
    <row r="97" spans="1:207" s="639" customFormat="1" ht="26.4" hidden="1" outlineLevel="1">
      <c r="A97" s="368" t="s">
        <v>714</v>
      </c>
      <c r="B97" s="706" t="s">
        <v>930</v>
      </c>
      <c r="C97" s="633"/>
      <c r="D97" s="681"/>
      <c r="E97" s="19"/>
      <c r="F97" s="19"/>
      <c r="G97" s="19"/>
      <c r="H97" s="19"/>
      <c r="I97" s="1361"/>
      <c r="J97" s="303"/>
      <c r="K97" s="303"/>
      <c r="L97" s="1383"/>
      <c r="M97" s="303"/>
      <c r="N97" s="303"/>
      <c r="O97" s="303"/>
      <c r="P97" s="1437"/>
      <c r="Q97" s="1437"/>
      <c r="R97" s="1437"/>
      <c r="S97" s="1437"/>
      <c r="T97" s="1437"/>
      <c r="U97" s="1437"/>
      <c r="V97" s="1437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  <c r="BK97" s="303"/>
      <c r="BL97" s="303"/>
      <c r="BM97" s="303"/>
      <c r="BN97" s="303"/>
      <c r="BO97" s="303"/>
      <c r="BP97" s="303"/>
      <c r="BQ97" s="303"/>
      <c r="BR97" s="303"/>
      <c r="BS97" s="303"/>
      <c r="BT97" s="303"/>
      <c r="BU97" s="303"/>
      <c r="BV97" s="303"/>
      <c r="BW97" s="303"/>
      <c r="BX97" s="303"/>
      <c r="BY97" s="303"/>
      <c r="BZ97" s="303"/>
      <c r="CA97" s="303"/>
      <c r="CB97" s="303"/>
      <c r="CC97" s="303"/>
      <c r="CD97" s="303"/>
      <c r="CE97" s="303"/>
      <c r="CF97" s="303"/>
      <c r="CG97" s="303"/>
      <c r="CH97" s="303"/>
      <c r="CI97" s="303"/>
      <c r="CJ97" s="303"/>
      <c r="CK97" s="303"/>
      <c r="CL97" s="303"/>
      <c r="CM97" s="303"/>
      <c r="CN97" s="303"/>
      <c r="CO97" s="303"/>
      <c r="CP97" s="303"/>
      <c r="CQ97" s="303"/>
      <c r="CR97" s="303"/>
      <c r="CS97" s="303"/>
      <c r="CT97" s="303"/>
      <c r="CU97" s="303"/>
      <c r="CV97" s="303"/>
      <c r="CW97" s="303"/>
      <c r="CX97" s="303"/>
      <c r="CY97" s="303"/>
      <c r="CZ97" s="303"/>
      <c r="DA97" s="303"/>
      <c r="DB97" s="303"/>
      <c r="DC97" s="303"/>
      <c r="DD97" s="303"/>
      <c r="DE97" s="303"/>
      <c r="DF97" s="303"/>
      <c r="DG97" s="303"/>
      <c r="DH97" s="303"/>
      <c r="DI97" s="303"/>
      <c r="DJ97" s="303"/>
      <c r="DK97" s="303"/>
      <c r="DL97" s="303"/>
      <c r="DM97" s="303"/>
      <c r="DN97" s="303"/>
      <c r="DO97" s="303"/>
      <c r="DP97" s="303"/>
      <c r="DQ97" s="303"/>
      <c r="DR97" s="303"/>
      <c r="DS97" s="303"/>
      <c r="DT97" s="303"/>
      <c r="DU97" s="303"/>
      <c r="DV97" s="303"/>
      <c r="DW97" s="303"/>
      <c r="DX97" s="303"/>
      <c r="DY97" s="303"/>
      <c r="DZ97" s="303"/>
      <c r="EA97" s="303"/>
      <c r="EB97" s="303"/>
      <c r="EC97" s="303"/>
      <c r="ED97" s="303"/>
      <c r="EE97" s="303"/>
      <c r="EF97" s="303"/>
      <c r="EG97" s="303"/>
      <c r="EH97" s="303"/>
      <c r="EI97" s="303"/>
      <c r="EJ97" s="303"/>
      <c r="EK97" s="303"/>
      <c r="EL97" s="303"/>
      <c r="EM97" s="303"/>
      <c r="EN97" s="303"/>
      <c r="EO97" s="303"/>
      <c r="EP97" s="303"/>
      <c r="EQ97" s="303"/>
      <c r="ER97" s="303"/>
      <c r="ES97" s="303"/>
      <c r="ET97" s="303"/>
      <c r="EU97" s="303"/>
      <c r="EV97" s="303"/>
      <c r="EW97" s="303"/>
      <c r="EX97" s="303"/>
      <c r="EY97" s="303"/>
      <c r="EZ97" s="303"/>
      <c r="FA97" s="303"/>
      <c r="FB97" s="303"/>
      <c r="FC97" s="303"/>
      <c r="FD97" s="303"/>
      <c r="FE97" s="303"/>
      <c r="FF97" s="303"/>
      <c r="FG97" s="303"/>
      <c r="FH97" s="303"/>
      <c r="FI97" s="303"/>
      <c r="FJ97" s="303"/>
      <c r="FK97" s="303"/>
      <c r="FL97" s="303"/>
      <c r="FM97" s="303"/>
      <c r="FN97" s="303"/>
      <c r="FO97" s="303"/>
      <c r="FP97" s="303"/>
      <c r="FQ97" s="303"/>
      <c r="FR97" s="303"/>
      <c r="FS97" s="303"/>
      <c r="FT97" s="303"/>
      <c r="FU97" s="303"/>
      <c r="FV97" s="303"/>
      <c r="FW97" s="303"/>
      <c r="FX97" s="303"/>
      <c r="FY97" s="303"/>
      <c r="FZ97" s="303"/>
      <c r="GA97" s="303"/>
      <c r="GB97" s="303"/>
      <c r="GC97" s="303"/>
      <c r="GD97" s="303"/>
      <c r="GE97" s="303"/>
      <c r="GF97" s="303"/>
      <c r="GG97" s="303"/>
      <c r="GH97" s="303"/>
      <c r="GI97" s="303"/>
      <c r="GJ97" s="303"/>
      <c r="GK97" s="303"/>
      <c r="GL97" s="303"/>
      <c r="GM97" s="303"/>
      <c r="GN97" s="303"/>
      <c r="GO97" s="303"/>
      <c r="GP97" s="303"/>
      <c r="GQ97" s="303"/>
      <c r="GR97" s="303"/>
      <c r="GS97" s="303"/>
      <c r="GT97" s="303"/>
      <c r="GU97" s="303"/>
      <c r="GV97" s="303"/>
      <c r="GW97" s="303"/>
      <c r="GX97" s="303"/>
      <c r="GY97" s="303"/>
    </row>
    <row r="98" spans="1:207" collapsed="1">
      <c r="A98" s="1722" t="s">
        <v>931</v>
      </c>
      <c r="B98" s="1723"/>
      <c r="C98" s="641">
        <f t="shared" ref="C98:I98" si="18">C6+C46+C86+C90+C94</f>
        <v>11071.3</v>
      </c>
      <c r="D98" s="683">
        <f t="shared" si="18"/>
        <v>665864</v>
      </c>
      <c r="E98" s="642">
        <f t="shared" si="18"/>
        <v>1617850</v>
      </c>
      <c r="F98" s="642">
        <f t="shared" si="18"/>
        <v>949717</v>
      </c>
      <c r="G98" s="642">
        <f t="shared" si="18"/>
        <v>255414.04</v>
      </c>
      <c r="H98" s="642">
        <f t="shared" si="18"/>
        <v>2380</v>
      </c>
      <c r="I98" s="1364">
        <f t="shared" si="18"/>
        <v>4018576.2179999994</v>
      </c>
      <c r="J98" s="853"/>
      <c r="K98" s="854"/>
      <c r="L98" s="643">
        <f>L6+L46+L86+L90</f>
        <v>59.5</v>
      </c>
      <c r="M98" s="1381"/>
      <c r="N98" s="854"/>
      <c r="O98" s="643">
        <f>O6+O46+O86+O90</f>
        <v>187012.32667128515</v>
      </c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299"/>
      <c r="AV98" s="299"/>
      <c r="AW98" s="299"/>
      <c r="AX98" s="299"/>
      <c r="AY98" s="299"/>
      <c r="AZ98" s="299"/>
      <c r="BA98" s="299"/>
      <c r="BB98" s="299"/>
      <c r="BC98" s="299"/>
      <c r="BD98" s="299"/>
      <c r="BE98" s="299"/>
      <c r="BF98" s="299"/>
      <c r="BG98" s="299"/>
      <c r="BH98" s="299"/>
      <c r="BI98" s="299"/>
      <c r="BJ98" s="299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  <c r="BV98" s="299"/>
      <c r="BW98" s="299"/>
      <c r="BX98" s="299"/>
      <c r="BY98" s="299"/>
      <c r="BZ98" s="299"/>
      <c r="CA98" s="299"/>
      <c r="CB98" s="299"/>
      <c r="CC98" s="299"/>
      <c r="CD98" s="299"/>
      <c r="CE98" s="299"/>
      <c r="CF98" s="299"/>
      <c r="CG98" s="299"/>
      <c r="CH98" s="299"/>
      <c r="CI98" s="299"/>
      <c r="CJ98" s="299"/>
      <c r="CK98" s="299"/>
      <c r="CL98" s="299"/>
      <c r="CM98" s="299"/>
      <c r="CN98" s="299"/>
      <c r="CO98" s="299"/>
      <c r="CP98" s="299"/>
      <c r="CQ98" s="299"/>
      <c r="CR98" s="299"/>
      <c r="CS98" s="299"/>
      <c r="CT98" s="299"/>
      <c r="CU98" s="299"/>
      <c r="CV98" s="299"/>
      <c r="CW98" s="299"/>
      <c r="CX98" s="299"/>
      <c r="CY98" s="299"/>
      <c r="CZ98" s="299"/>
      <c r="DA98" s="299"/>
      <c r="DB98" s="299"/>
      <c r="DC98" s="299"/>
      <c r="DD98" s="299"/>
      <c r="DE98" s="299"/>
      <c r="DF98" s="299"/>
      <c r="DG98" s="299"/>
      <c r="DH98" s="299"/>
      <c r="DI98" s="299"/>
      <c r="DJ98" s="299"/>
      <c r="DK98" s="299"/>
      <c r="DL98" s="299"/>
      <c r="DM98" s="299"/>
      <c r="DN98" s="299"/>
      <c r="DO98" s="299"/>
      <c r="DP98" s="299"/>
      <c r="DQ98" s="299"/>
      <c r="DR98" s="299"/>
      <c r="DS98" s="299"/>
      <c r="DT98" s="299"/>
      <c r="DU98" s="299"/>
      <c r="DV98" s="299"/>
      <c r="DW98" s="299"/>
      <c r="DX98" s="299"/>
      <c r="DY98" s="299"/>
      <c r="DZ98" s="299"/>
      <c r="EA98" s="299"/>
      <c r="EB98" s="299"/>
      <c r="EC98" s="299"/>
      <c r="ED98" s="299"/>
      <c r="EE98" s="299"/>
      <c r="EF98" s="299"/>
      <c r="EG98" s="299"/>
      <c r="EH98" s="299"/>
      <c r="EI98" s="299"/>
      <c r="EJ98" s="299"/>
      <c r="EK98" s="299"/>
      <c r="EL98" s="299"/>
      <c r="EM98" s="299"/>
      <c r="EN98" s="299"/>
      <c r="EO98" s="299"/>
      <c r="EP98" s="299"/>
      <c r="EQ98" s="299"/>
      <c r="ER98" s="299"/>
      <c r="ES98" s="299"/>
      <c r="ET98" s="299"/>
      <c r="EU98" s="299"/>
      <c r="EV98" s="299"/>
      <c r="EW98" s="299"/>
      <c r="EX98" s="299"/>
      <c r="EY98" s="299"/>
      <c r="EZ98" s="299"/>
      <c r="FA98" s="299"/>
      <c r="FB98" s="299"/>
      <c r="FC98" s="299"/>
      <c r="FD98" s="299"/>
      <c r="FE98" s="299"/>
      <c r="FF98" s="299"/>
      <c r="FG98" s="299"/>
      <c r="FH98" s="299"/>
      <c r="FI98" s="299"/>
      <c r="FJ98" s="299"/>
      <c r="FK98" s="299"/>
      <c r="FL98" s="299"/>
      <c r="FM98" s="299"/>
      <c r="FN98" s="299"/>
      <c r="FO98" s="299"/>
      <c r="FP98" s="299"/>
      <c r="FQ98" s="299"/>
      <c r="FR98" s="299"/>
      <c r="FS98" s="299"/>
      <c r="FT98" s="299"/>
      <c r="FU98" s="299"/>
      <c r="FV98" s="299"/>
      <c r="FW98" s="299"/>
      <c r="FX98" s="299"/>
      <c r="FY98" s="299"/>
      <c r="FZ98" s="299"/>
      <c r="GA98" s="299"/>
      <c r="GB98" s="299"/>
      <c r="GC98" s="299"/>
      <c r="GD98" s="299"/>
      <c r="GE98" s="299"/>
      <c r="GF98" s="299"/>
      <c r="GG98" s="299"/>
      <c r="GH98" s="299"/>
      <c r="GI98" s="299"/>
      <c r="GJ98" s="299"/>
      <c r="GK98" s="299"/>
      <c r="GL98" s="299"/>
      <c r="GM98" s="299"/>
      <c r="GN98" s="299"/>
      <c r="GO98" s="299"/>
      <c r="GP98" s="299"/>
      <c r="GQ98" s="299"/>
      <c r="GR98" s="299"/>
      <c r="GS98" s="299"/>
      <c r="GT98" s="299"/>
      <c r="GU98" s="299"/>
      <c r="GV98" s="299"/>
      <c r="GW98" s="299"/>
      <c r="GX98" s="299"/>
      <c r="GY98" s="299"/>
    </row>
    <row r="99" spans="1:207" s="298" customFormat="1" ht="28.5" customHeight="1">
      <c r="A99" s="629" t="s">
        <v>36</v>
      </c>
      <c r="B99" s="705" t="s">
        <v>932</v>
      </c>
      <c r="C99" s="630">
        <f t="shared" ref="C99:H99" si="19">SUM(C100:C105)</f>
        <v>0</v>
      </c>
      <c r="D99" s="680">
        <f t="shared" si="19"/>
        <v>0</v>
      </c>
      <c r="E99" s="18">
        <f t="shared" si="19"/>
        <v>0</v>
      </c>
      <c r="F99" s="18">
        <f t="shared" si="19"/>
        <v>0</v>
      </c>
      <c r="G99" s="18">
        <f t="shared" si="19"/>
        <v>0</v>
      </c>
      <c r="H99" s="18">
        <f t="shared" si="19"/>
        <v>0</v>
      </c>
      <c r="I99" s="1360">
        <f t="shared" ref="I99" si="20">SUM(I100:I105)</f>
        <v>107447</v>
      </c>
      <c r="J99" s="631"/>
      <c r="K99" s="631"/>
      <c r="L99" s="1270">
        <f>SUM(L100:L105)</f>
        <v>0</v>
      </c>
      <c r="M99" s="631"/>
      <c r="N99" s="631"/>
      <c r="O99" s="632">
        <f>SUM(O100:O105)</f>
        <v>0</v>
      </c>
      <c r="P99" s="1436"/>
      <c r="Q99" s="1436"/>
      <c r="R99" s="1436"/>
      <c r="S99" s="1436"/>
      <c r="T99" s="1436"/>
      <c r="U99" s="1436"/>
      <c r="V99" s="1436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  <c r="CD99" s="297"/>
      <c r="CE99" s="297"/>
      <c r="CF99" s="297"/>
      <c r="CG99" s="297"/>
      <c r="CH99" s="297"/>
      <c r="CI99" s="297"/>
      <c r="CJ99" s="297"/>
      <c r="CK99" s="297"/>
      <c r="CL99" s="297"/>
      <c r="CM99" s="297"/>
      <c r="CN99" s="297"/>
      <c r="CO99" s="297"/>
      <c r="CP99" s="297"/>
      <c r="CQ99" s="297"/>
      <c r="CR99" s="297"/>
      <c r="CS99" s="297"/>
      <c r="CT99" s="297"/>
      <c r="CU99" s="297"/>
      <c r="CV99" s="297"/>
      <c r="CW99" s="297"/>
      <c r="CX99" s="297"/>
      <c r="CY99" s="297"/>
      <c r="CZ99" s="297"/>
      <c r="DA99" s="297"/>
      <c r="DB99" s="297"/>
      <c r="DC99" s="297"/>
      <c r="DD99" s="297"/>
      <c r="DE99" s="297"/>
      <c r="DF99" s="297"/>
      <c r="DG99" s="297"/>
      <c r="DH99" s="297"/>
      <c r="DI99" s="297"/>
      <c r="DJ99" s="297"/>
      <c r="DK99" s="297"/>
      <c r="DL99" s="297"/>
      <c r="DM99" s="297"/>
      <c r="DN99" s="297"/>
      <c r="DO99" s="297"/>
      <c r="DP99" s="297"/>
      <c r="DQ99" s="297"/>
      <c r="DR99" s="297"/>
      <c r="DS99" s="297"/>
      <c r="DT99" s="297"/>
      <c r="DU99" s="297"/>
      <c r="DV99" s="297"/>
      <c r="DW99" s="297"/>
      <c r="DX99" s="297"/>
      <c r="DY99" s="297"/>
      <c r="DZ99" s="297"/>
      <c r="EA99" s="297"/>
      <c r="EB99" s="297"/>
      <c r="EC99" s="297"/>
      <c r="ED99" s="297"/>
      <c r="EE99" s="297"/>
      <c r="EF99" s="297"/>
      <c r="EG99" s="297"/>
      <c r="EH99" s="297"/>
      <c r="EI99" s="297"/>
      <c r="EJ99" s="297"/>
      <c r="EK99" s="297"/>
      <c r="EL99" s="297"/>
      <c r="EM99" s="297"/>
      <c r="EN99" s="297"/>
      <c r="EO99" s="297"/>
      <c r="EP99" s="297"/>
      <c r="EQ99" s="297"/>
      <c r="ER99" s="297"/>
      <c r="ES99" s="297"/>
      <c r="ET99" s="297"/>
      <c r="EU99" s="297"/>
      <c r="EV99" s="297"/>
      <c r="EW99" s="297"/>
      <c r="EX99" s="297"/>
      <c r="EY99" s="297"/>
      <c r="EZ99" s="297"/>
      <c r="FA99" s="297"/>
      <c r="FB99" s="297"/>
      <c r="FC99" s="297"/>
      <c r="FD99" s="297"/>
      <c r="FE99" s="297"/>
      <c r="FF99" s="297"/>
      <c r="FG99" s="297"/>
      <c r="FH99" s="297"/>
      <c r="FI99" s="297"/>
      <c r="FJ99" s="297"/>
      <c r="FK99" s="297"/>
      <c r="FL99" s="297"/>
      <c r="FM99" s="297"/>
      <c r="FN99" s="297"/>
      <c r="FO99" s="297"/>
      <c r="FP99" s="297"/>
      <c r="FQ99" s="297"/>
      <c r="FR99" s="297"/>
      <c r="FS99" s="297"/>
      <c r="FT99" s="297"/>
      <c r="FU99" s="297"/>
      <c r="FV99" s="297"/>
      <c r="FW99" s="297"/>
      <c r="FX99" s="297"/>
      <c r="FY99" s="297"/>
      <c r="FZ99" s="297"/>
      <c r="GA99" s="297"/>
      <c r="GB99" s="297"/>
      <c r="GC99" s="297"/>
      <c r="GD99" s="297"/>
      <c r="GE99" s="297"/>
      <c r="GF99" s="297"/>
      <c r="GG99" s="297"/>
      <c r="GH99" s="297"/>
      <c r="GI99" s="297"/>
      <c r="GJ99" s="297"/>
      <c r="GK99" s="297"/>
      <c r="GL99" s="297"/>
      <c r="GM99" s="297"/>
      <c r="GN99" s="297"/>
      <c r="GO99" s="297"/>
      <c r="GP99" s="297"/>
      <c r="GQ99" s="297"/>
      <c r="GR99" s="297"/>
      <c r="GS99" s="297"/>
      <c r="GT99" s="297"/>
      <c r="GU99" s="297"/>
      <c r="GV99" s="297"/>
      <c r="GW99" s="297"/>
      <c r="GX99" s="297"/>
      <c r="GY99" s="297"/>
    </row>
    <row r="100" spans="1:207" s="299" customFormat="1">
      <c r="A100" s="368" t="s">
        <v>50</v>
      </c>
      <c r="B100" s="689" t="s">
        <v>933</v>
      </c>
      <c r="C100" s="633"/>
      <c r="D100" s="681"/>
      <c r="E100" s="19"/>
      <c r="F100" s="19"/>
      <c r="G100" s="19"/>
      <c r="H100" s="19"/>
      <c r="I100" s="1361"/>
      <c r="L100" s="1385"/>
      <c r="P100" s="149"/>
      <c r="Q100" s="149"/>
      <c r="R100" s="149"/>
      <c r="S100" s="149"/>
      <c r="T100" s="149"/>
      <c r="U100" s="149"/>
      <c r="V100" s="149"/>
    </row>
    <row r="101" spans="1:207" s="299" customFormat="1">
      <c r="A101" s="368" t="s">
        <v>163</v>
      </c>
      <c r="B101" s="675" t="s">
        <v>1319</v>
      </c>
      <c r="C101" s="633"/>
      <c r="D101" s="681"/>
      <c r="E101" s="19"/>
      <c r="F101" s="19"/>
      <c r="G101" s="19"/>
      <c r="H101" s="19"/>
      <c r="I101" s="1361">
        <v>36439</v>
      </c>
      <c r="L101" s="1385"/>
      <c r="P101" s="149"/>
      <c r="Q101" s="149"/>
      <c r="R101" s="149"/>
      <c r="S101" s="149"/>
      <c r="T101" s="149"/>
      <c r="U101" s="149"/>
      <c r="V101" s="149"/>
    </row>
    <row r="102" spans="1:207" s="299" customFormat="1">
      <c r="A102" s="368" t="s">
        <v>718</v>
      </c>
      <c r="B102" s="675" t="s">
        <v>1320</v>
      </c>
      <c r="C102" s="633"/>
      <c r="D102" s="681"/>
      <c r="E102" s="19"/>
      <c r="F102" s="19"/>
      <c r="G102" s="19"/>
      <c r="H102" s="19"/>
      <c r="I102" s="1361">
        <v>22090</v>
      </c>
      <c r="L102" s="1385"/>
      <c r="P102" s="149"/>
      <c r="Q102" s="149"/>
      <c r="R102" s="149"/>
      <c r="S102" s="149"/>
      <c r="T102" s="149"/>
      <c r="U102" s="149"/>
      <c r="V102" s="149"/>
    </row>
    <row r="103" spans="1:207" s="299" customFormat="1">
      <c r="A103" s="368" t="s">
        <v>719</v>
      </c>
      <c r="B103" s="675" t="s">
        <v>1015</v>
      </c>
      <c r="C103" s="633"/>
      <c r="D103" s="681"/>
      <c r="E103" s="19"/>
      <c r="F103" s="19"/>
      <c r="G103" s="19"/>
      <c r="H103" s="19"/>
      <c r="I103" s="1361">
        <v>6126</v>
      </c>
      <c r="L103" s="1385"/>
      <c r="P103" s="149"/>
      <c r="Q103" s="149"/>
      <c r="R103" s="149"/>
      <c r="S103" s="149"/>
      <c r="T103" s="149"/>
      <c r="U103" s="149"/>
      <c r="V103" s="149"/>
    </row>
    <row r="104" spans="1:207" s="299" customFormat="1">
      <c r="A104" s="368" t="s">
        <v>1317</v>
      </c>
      <c r="B104" s="675" t="s">
        <v>1019</v>
      </c>
      <c r="C104" s="633"/>
      <c r="D104" s="681"/>
      <c r="E104" s="19"/>
      <c r="F104" s="19"/>
      <c r="G104" s="19"/>
      <c r="H104" s="19"/>
      <c r="I104" s="1361">
        <v>42792</v>
      </c>
      <c r="L104" s="1385"/>
      <c r="P104" s="149"/>
      <c r="Q104" s="149"/>
      <c r="R104" s="149"/>
      <c r="S104" s="149"/>
      <c r="T104" s="149"/>
      <c r="U104" s="149"/>
      <c r="V104" s="149"/>
    </row>
    <row r="105" spans="1:207" s="299" customFormat="1">
      <c r="A105" s="368" t="s">
        <v>1318</v>
      </c>
      <c r="B105" s="675"/>
      <c r="C105" s="633"/>
      <c r="D105" s="681"/>
      <c r="E105" s="19"/>
      <c r="F105" s="19"/>
      <c r="G105" s="19"/>
      <c r="H105" s="19"/>
      <c r="I105" s="1361"/>
      <c r="L105" s="1385"/>
      <c r="P105" s="149"/>
      <c r="Q105" s="149"/>
      <c r="R105" s="149"/>
      <c r="S105" s="149"/>
      <c r="T105" s="149"/>
      <c r="U105" s="149"/>
      <c r="V105" s="149"/>
    </row>
    <row r="106" spans="1:207" s="299" customFormat="1">
      <c r="A106" s="644" t="s">
        <v>164</v>
      </c>
      <c r="B106" s="707" t="s">
        <v>934</v>
      </c>
      <c r="C106" s="630">
        <f t="shared" ref="C106:I106" si="21">SUM(C107:C109)</f>
        <v>0</v>
      </c>
      <c r="D106" s="680">
        <f t="shared" si="21"/>
        <v>0</v>
      </c>
      <c r="E106" s="18">
        <f t="shared" si="21"/>
        <v>0</v>
      </c>
      <c r="F106" s="18">
        <f t="shared" si="21"/>
        <v>11737</v>
      </c>
      <c r="G106" s="18">
        <f t="shared" si="21"/>
        <v>0</v>
      </c>
      <c r="H106" s="18">
        <f t="shared" si="21"/>
        <v>0</v>
      </c>
      <c r="I106" s="1360">
        <f t="shared" si="21"/>
        <v>0</v>
      </c>
      <c r="J106" s="631"/>
      <c r="K106" s="631"/>
      <c r="L106" s="1270">
        <f>SUM(L107:L109)</f>
        <v>0</v>
      </c>
      <c r="M106" s="631"/>
      <c r="N106" s="631"/>
      <c r="O106" s="632">
        <f>SUM(O107:O109)</f>
        <v>0</v>
      </c>
      <c r="P106" s="149"/>
      <c r="Q106" s="149"/>
      <c r="R106" s="149"/>
      <c r="S106" s="149"/>
      <c r="T106" s="149"/>
      <c r="U106" s="149"/>
      <c r="V106" s="149"/>
    </row>
    <row r="107" spans="1:207" s="299" customFormat="1">
      <c r="A107" s="368" t="s">
        <v>200</v>
      </c>
      <c r="B107" s="689" t="s">
        <v>935</v>
      </c>
      <c r="C107" s="633"/>
      <c r="D107" s="681"/>
      <c r="E107" s="19"/>
      <c r="F107" s="19"/>
      <c r="G107" s="19"/>
      <c r="H107" s="19"/>
      <c r="I107" s="1361"/>
      <c r="L107" s="1385"/>
      <c r="P107" s="149"/>
      <c r="Q107" s="149"/>
      <c r="R107" s="149"/>
      <c r="S107" s="149"/>
      <c r="T107" s="149"/>
      <c r="U107" s="149"/>
      <c r="V107" s="149"/>
    </row>
    <row r="108" spans="1:207" s="299" customFormat="1" ht="26.4">
      <c r="A108" s="368" t="s">
        <v>201</v>
      </c>
      <c r="B108" s="701" t="s">
        <v>1300</v>
      </c>
      <c r="C108" s="633"/>
      <c r="D108" s="681"/>
      <c r="E108" s="19"/>
      <c r="F108" s="1371">
        <f>11737*1</f>
        <v>11737</v>
      </c>
      <c r="G108" s="19"/>
      <c r="H108" s="19"/>
      <c r="I108" s="1361"/>
      <c r="L108" s="1385"/>
      <c r="P108" s="149"/>
      <c r="Q108" s="149"/>
      <c r="R108" s="149"/>
      <c r="S108" s="149"/>
      <c r="T108" s="149"/>
      <c r="U108" s="149"/>
      <c r="V108" s="149"/>
    </row>
    <row r="109" spans="1:207" s="299" customFormat="1">
      <c r="A109" s="368" t="s">
        <v>202</v>
      </c>
      <c r="B109" s="675"/>
      <c r="C109" s="633"/>
      <c r="D109" s="681"/>
      <c r="E109" s="19"/>
      <c r="F109" s="19"/>
      <c r="G109" s="19"/>
      <c r="H109" s="19"/>
      <c r="I109" s="1361"/>
      <c r="L109" s="1385"/>
      <c r="P109" s="149"/>
      <c r="Q109" s="149"/>
      <c r="R109" s="149"/>
      <c r="S109" s="149"/>
      <c r="T109" s="149"/>
      <c r="U109" s="149"/>
      <c r="V109" s="149"/>
    </row>
    <row r="110" spans="1:207" s="299" customFormat="1" ht="26.4">
      <c r="A110" s="644" t="s">
        <v>120</v>
      </c>
      <c r="B110" s="702" t="s">
        <v>936</v>
      </c>
      <c r="C110" s="645">
        <f t="shared" ref="C110:H110" si="22">SUM(C111:C116)</f>
        <v>0</v>
      </c>
      <c r="D110" s="684">
        <f t="shared" si="22"/>
        <v>381128.43</v>
      </c>
      <c r="E110" s="646">
        <f t="shared" si="22"/>
        <v>2980275</v>
      </c>
      <c r="F110" s="646">
        <f t="shared" si="22"/>
        <v>351790.26</v>
      </c>
      <c r="G110" s="646">
        <f t="shared" si="22"/>
        <v>0</v>
      </c>
      <c r="H110" s="646">
        <f t="shared" si="22"/>
        <v>0</v>
      </c>
      <c r="I110" s="1365">
        <f t="shared" ref="I110" si="23">SUM(I111:I116)</f>
        <v>0</v>
      </c>
      <c r="J110" s="631"/>
      <c r="K110" s="631"/>
      <c r="L110" s="1270">
        <f>SUM(L111:L116)</f>
        <v>0</v>
      </c>
      <c r="M110" s="631"/>
      <c r="N110" s="631"/>
      <c r="O110" s="632">
        <f>SUM(O111:O116)</f>
        <v>0</v>
      </c>
      <c r="P110" s="149"/>
      <c r="Q110" s="149"/>
      <c r="R110" s="149"/>
      <c r="S110" s="149"/>
      <c r="T110" s="149"/>
      <c r="U110" s="149"/>
      <c r="V110" s="149"/>
    </row>
    <row r="111" spans="1:207" s="299" customFormat="1">
      <c r="A111" s="368" t="s">
        <v>110</v>
      </c>
      <c r="B111" s="689" t="s">
        <v>937</v>
      </c>
      <c r="C111" s="633"/>
      <c r="D111" s="681"/>
      <c r="E111" s="19"/>
      <c r="F111" s="19"/>
      <c r="G111" s="19"/>
      <c r="H111" s="19"/>
      <c r="I111" s="1361"/>
      <c r="L111" s="1388"/>
      <c r="P111" s="149"/>
      <c r="Q111" s="149"/>
      <c r="R111" s="149"/>
      <c r="S111" s="149"/>
      <c r="T111" s="149"/>
      <c r="U111" s="149"/>
      <c r="V111" s="149"/>
    </row>
    <row r="112" spans="1:207" s="299" customFormat="1">
      <c r="A112" s="368" t="s">
        <v>111</v>
      </c>
      <c r="B112" s="701" t="s">
        <v>684</v>
      </c>
      <c r="C112" s="633"/>
      <c r="D112" s="19"/>
      <c r="E112" s="19"/>
      <c r="F112" s="19">
        <v>212076.26</v>
      </c>
      <c r="G112" s="19"/>
      <c r="H112" s="19"/>
      <c r="I112" s="1361"/>
      <c r="L112" s="1385"/>
      <c r="P112" s="149"/>
      <c r="Q112" s="149"/>
      <c r="R112" s="149"/>
      <c r="S112" s="149"/>
      <c r="T112" s="149"/>
      <c r="U112" s="149"/>
      <c r="V112" s="149"/>
    </row>
    <row r="113" spans="1:207" s="299" customFormat="1">
      <c r="A113" s="368" t="s">
        <v>165</v>
      </c>
      <c r="B113" s="703" t="s">
        <v>637</v>
      </c>
      <c r="C113" s="633"/>
      <c r="D113" s="19">
        <v>381128.43</v>
      </c>
      <c r="E113" s="19"/>
      <c r="F113" s="19"/>
      <c r="G113" s="19"/>
      <c r="H113" s="19"/>
      <c r="I113" s="1361"/>
      <c r="L113" s="1385"/>
      <c r="P113" s="149"/>
      <c r="Q113" s="149"/>
      <c r="R113" s="149"/>
      <c r="S113" s="149"/>
      <c r="T113" s="149"/>
      <c r="U113" s="149"/>
      <c r="V113" s="149"/>
    </row>
    <row r="114" spans="1:207" s="299" customFormat="1">
      <c r="A114" s="368" t="s">
        <v>583</v>
      </c>
      <c r="B114" s="701" t="s">
        <v>686</v>
      </c>
      <c r="C114" s="633"/>
      <c r="D114" s="19"/>
      <c r="E114" s="19"/>
      <c r="F114" s="19">
        <v>139714</v>
      </c>
      <c r="G114" s="19"/>
      <c r="H114" s="19"/>
      <c r="I114" s="1361"/>
      <c r="L114" s="1385"/>
      <c r="P114" s="149"/>
      <c r="Q114" s="149"/>
      <c r="R114" s="149"/>
      <c r="S114" s="149"/>
      <c r="T114" s="149"/>
      <c r="U114" s="149"/>
      <c r="V114" s="149"/>
    </row>
    <row r="115" spans="1:207" s="299" customFormat="1">
      <c r="A115" s="368" t="s">
        <v>584</v>
      </c>
      <c r="B115" s="675" t="s">
        <v>625</v>
      </c>
      <c r="C115" s="633"/>
      <c r="D115" s="19"/>
      <c r="E115" s="19">
        <v>2980275</v>
      </c>
      <c r="F115" s="19"/>
      <c r="G115" s="19"/>
      <c r="H115" s="19"/>
      <c r="I115" s="1361"/>
      <c r="L115" s="1385"/>
      <c r="P115" s="149"/>
      <c r="Q115" s="149"/>
      <c r="R115" s="149"/>
      <c r="S115" s="149"/>
      <c r="T115" s="149"/>
      <c r="U115" s="149"/>
      <c r="V115" s="149"/>
    </row>
    <row r="116" spans="1:207" s="299" customFormat="1">
      <c r="A116" s="368" t="s">
        <v>954</v>
      </c>
      <c r="B116" s="675"/>
      <c r="C116" s="633"/>
      <c r="D116" s="681"/>
      <c r="E116" s="19"/>
      <c r="F116" s="19"/>
      <c r="G116" s="19"/>
      <c r="H116" s="19"/>
      <c r="I116" s="1361"/>
      <c r="J116" s="1386"/>
      <c r="K116" s="1387"/>
      <c r="L116" s="1389"/>
      <c r="M116" s="1387"/>
      <c r="N116" s="1387"/>
      <c r="O116" s="1387"/>
      <c r="P116" s="149"/>
      <c r="Q116" s="149"/>
      <c r="R116" s="149"/>
      <c r="S116" s="149"/>
      <c r="T116" s="149"/>
      <c r="U116" s="149"/>
      <c r="V116" s="149"/>
    </row>
    <row r="117" spans="1:207" s="298" customFormat="1" ht="13.2" customHeight="1">
      <c r="A117" s="1724" t="s">
        <v>938</v>
      </c>
      <c r="B117" s="1725"/>
      <c r="C117" s="647">
        <f t="shared" ref="C117:I117" si="24">C98+C99+C106+C110</f>
        <v>11071.3</v>
      </c>
      <c r="D117" s="685">
        <f t="shared" si="24"/>
        <v>1046992.4299999999</v>
      </c>
      <c r="E117" s="20">
        <f t="shared" si="24"/>
        <v>4598125</v>
      </c>
      <c r="F117" s="20">
        <f t="shared" si="24"/>
        <v>1313244.26</v>
      </c>
      <c r="G117" s="20">
        <f t="shared" si="24"/>
        <v>255414.04</v>
      </c>
      <c r="H117" s="20">
        <f t="shared" si="24"/>
        <v>2380</v>
      </c>
      <c r="I117" s="1366">
        <f t="shared" si="24"/>
        <v>4126023.2179999994</v>
      </c>
      <c r="J117" s="297"/>
      <c r="K117" s="297"/>
      <c r="L117" s="297"/>
      <c r="M117" s="297"/>
      <c r="N117" s="297"/>
      <c r="O117" s="297"/>
      <c r="P117" s="1436"/>
      <c r="Q117" s="1436"/>
      <c r="R117" s="1436"/>
      <c r="S117" s="1436"/>
      <c r="T117" s="1436"/>
      <c r="U117" s="1436"/>
      <c r="V117" s="1436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  <c r="CD117" s="297"/>
      <c r="CE117" s="297"/>
      <c r="CF117" s="297"/>
      <c r="CG117" s="297"/>
      <c r="CH117" s="297"/>
      <c r="CI117" s="297"/>
      <c r="CJ117" s="297"/>
      <c r="CK117" s="297"/>
      <c r="CL117" s="297"/>
      <c r="CM117" s="297"/>
      <c r="CN117" s="297"/>
      <c r="CO117" s="297"/>
      <c r="CP117" s="297"/>
      <c r="CQ117" s="297"/>
      <c r="CR117" s="297"/>
      <c r="CS117" s="297"/>
      <c r="CT117" s="297"/>
      <c r="CU117" s="297"/>
      <c r="CV117" s="297"/>
      <c r="CW117" s="297"/>
      <c r="CX117" s="297"/>
      <c r="CY117" s="297"/>
      <c r="CZ117" s="297"/>
      <c r="DA117" s="297"/>
      <c r="DB117" s="297"/>
      <c r="DC117" s="297"/>
      <c r="DD117" s="297"/>
      <c r="DE117" s="297"/>
      <c r="DF117" s="297"/>
      <c r="DG117" s="297"/>
      <c r="DH117" s="297"/>
      <c r="DI117" s="297"/>
      <c r="DJ117" s="297"/>
      <c r="DK117" s="297"/>
      <c r="DL117" s="297"/>
      <c r="DM117" s="297"/>
      <c r="DN117" s="297"/>
      <c r="DO117" s="297"/>
      <c r="DP117" s="297"/>
      <c r="DQ117" s="297"/>
      <c r="DR117" s="297"/>
      <c r="DS117" s="297"/>
      <c r="DT117" s="297"/>
      <c r="DU117" s="297"/>
      <c r="DV117" s="297"/>
      <c r="DW117" s="297"/>
      <c r="DX117" s="297"/>
      <c r="DY117" s="297"/>
      <c r="DZ117" s="297"/>
      <c r="EA117" s="297"/>
      <c r="EB117" s="297"/>
      <c r="EC117" s="297"/>
      <c r="ED117" s="297"/>
      <c r="EE117" s="297"/>
      <c r="EF117" s="297"/>
      <c r="EG117" s="297"/>
      <c r="EH117" s="297"/>
      <c r="EI117" s="297"/>
      <c r="EJ117" s="297"/>
      <c r="EK117" s="297"/>
      <c r="EL117" s="297"/>
      <c r="EM117" s="297"/>
      <c r="EN117" s="297"/>
      <c r="EO117" s="297"/>
      <c r="EP117" s="297"/>
      <c r="EQ117" s="297"/>
      <c r="ER117" s="297"/>
      <c r="ES117" s="297"/>
      <c r="ET117" s="297"/>
      <c r="EU117" s="297"/>
      <c r="EV117" s="297"/>
      <c r="EW117" s="297"/>
      <c r="EX117" s="297"/>
      <c r="EY117" s="297"/>
      <c r="EZ117" s="297"/>
      <c r="FA117" s="297"/>
      <c r="FB117" s="297"/>
      <c r="FC117" s="297"/>
      <c r="FD117" s="297"/>
      <c r="FE117" s="297"/>
      <c r="FF117" s="297"/>
      <c r="FG117" s="297"/>
      <c r="FH117" s="297"/>
      <c r="FI117" s="297"/>
      <c r="FJ117" s="297"/>
      <c r="FK117" s="297"/>
      <c r="FL117" s="297"/>
      <c r="FM117" s="297"/>
      <c r="FN117" s="297"/>
      <c r="FO117" s="297"/>
      <c r="FP117" s="297"/>
      <c r="FQ117" s="297"/>
      <c r="FR117" s="297"/>
      <c r="FS117" s="297"/>
      <c r="FT117" s="297"/>
      <c r="FU117" s="297"/>
      <c r="FV117" s="297"/>
      <c r="FW117" s="297"/>
      <c r="FX117" s="297"/>
      <c r="FY117" s="297"/>
      <c r="FZ117" s="297"/>
      <c r="GA117" s="297"/>
      <c r="GB117" s="297"/>
      <c r="GC117" s="297"/>
      <c r="GD117" s="297"/>
      <c r="GE117" s="297"/>
      <c r="GF117" s="297"/>
      <c r="GG117" s="297"/>
      <c r="GH117" s="297"/>
      <c r="GI117" s="297"/>
      <c r="GJ117" s="297"/>
      <c r="GK117" s="297"/>
      <c r="GL117" s="297"/>
      <c r="GM117" s="297"/>
    </row>
    <row r="118" spans="1:207" s="298" customFormat="1">
      <c r="A118" s="648"/>
      <c r="B118" s="708" t="s">
        <v>939</v>
      </c>
      <c r="C118" s="649">
        <f t="shared" ref="C118:I118" si="25">C94+C100+C111</f>
        <v>0</v>
      </c>
      <c r="D118" s="686">
        <f t="shared" si="25"/>
        <v>0</v>
      </c>
      <c r="E118" s="650">
        <f t="shared" si="25"/>
        <v>0</v>
      </c>
      <c r="F118" s="650">
        <f t="shared" si="25"/>
        <v>0</v>
      </c>
      <c r="G118" s="650">
        <f t="shared" si="25"/>
        <v>0</v>
      </c>
      <c r="H118" s="650">
        <f t="shared" si="25"/>
        <v>0</v>
      </c>
      <c r="I118" s="1367">
        <f t="shared" si="25"/>
        <v>0</v>
      </c>
      <c r="J118" s="297"/>
      <c r="K118" s="297"/>
      <c r="L118" s="297"/>
      <c r="M118" s="297"/>
      <c r="N118" s="297"/>
      <c r="O118" s="297"/>
      <c r="P118" s="1436"/>
      <c r="Q118" s="1436"/>
      <c r="R118" s="1436"/>
      <c r="S118" s="1436"/>
      <c r="T118" s="1436"/>
      <c r="U118" s="1436"/>
      <c r="V118" s="1436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  <c r="CD118" s="297"/>
      <c r="CE118" s="297"/>
      <c r="CF118" s="297"/>
      <c r="CG118" s="297"/>
      <c r="CH118" s="297"/>
      <c r="CI118" s="297"/>
      <c r="CJ118" s="297"/>
      <c r="CK118" s="297"/>
      <c r="CL118" s="297"/>
      <c r="CM118" s="297"/>
      <c r="CN118" s="297"/>
      <c r="CO118" s="297"/>
      <c r="CP118" s="297"/>
      <c r="CQ118" s="297"/>
      <c r="CR118" s="297"/>
      <c r="CS118" s="297"/>
      <c r="CT118" s="297"/>
      <c r="CU118" s="297"/>
      <c r="CV118" s="297"/>
      <c r="CW118" s="297"/>
      <c r="CX118" s="297"/>
      <c r="CY118" s="297"/>
      <c r="CZ118" s="297"/>
      <c r="DA118" s="297"/>
      <c r="DB118" s="297"/>
      <c r="DC118" s="297"/>
      <c r="DD118" s="297"/>
      <c r="DE118" s="297"/>
      <c r="DF118" s="297"/>
      <c r="DG118" s="297"/>
      <c r="DH118" s="297"/>
      <c r="DI118" s="297"/>
      <c r="DJ118" s="297"/>
      <c r="DK118" s="297"/>
      <c r="DL118" s="297"/>
      <c r="DM118" s="297"/>
      <c r="DN118" s="297"/>
      <c r="DO118" s="297"/>
      <c r="DP118" s="297"/>
      <c r="DQ118" s="297"/>
      <c r="DR118" s="297"/>
      <c r="DS118" s="297"/>
      <c r="DT118" s="297"/>
      <c r="DU118" s="297"/>
      <c r="DV118" s="297"/>
      <c r="DW118" s="297"/>
      <c r="DX118" s="297"/>
      <c r="DY118" s="297"/>
      <c r="DZ118" s="297"/>
      <c r="EA118" s="297"/>
      <c r="EB118" s="297"/>
      <c r="EC118" s="297"/>
      <c r="ED118" s="297"/>
      <c r="EE118" s="297"/>
      <c r="EF118" s="297"/>
      <c r="EG118" s="297"/>
      <c r="EH118" s="297"/>
      <c r="EI118" s="297"/>
      <c r="EJ118" s="297"/>
      <c r="EK118" s="297"/>
      <c r="EL118" s="297"/>
      <c r="EM118" s="297"/>
      <c r="EN118" s="297"/>
      <c r="EO118" s="297"/>
      <c r="EP118" s="297"/>
      <c r="EQ118" s="297"/>
      <c r="ER118" s="297"/>
      <c r="ES118" s="297"/>
      <c r="ET118" s="297"/>
      <c r="EU118" s="297"/>
      <c r="EV118" s="297"/>
      <c r="EW118" s="297"/>
      <c r="EX118" s="297"/>
      <c r="EY118" s="297"/>
      <c r="EZ118" s="297"/>
      <c r="FA118" s="297"/>
      <c r="FB118" s="297"/>
      <c r="FC118" s="297"/>
      <c r="FD118" s="297"/>
      <c r="FE118" s="297"/>
      <c r="FF118" s="297"/>
      <c r="FG118" s="297"/>
      <c r="FH118" s="297"/>
      <c r="FI118" s="297"/>
      <c r="FJ118" s="297"/>
      <c r="FK118" s="297"/>
      <c r="FL118" s="297"/>
      <c r="FM118" s="297"/>
      <c r="FN118" s="297"/>
      <c r="FO118" s="297"/>
      <c r="FP118" s="297"/>
      <c r="FQ118" s="297"/>
      <c r="FR118" s="297"/>
      <c r="FS118" s="297"/>
      <c r="FT118" s="297"/>
      <c r="FU118" s="297"/>
      <c r="FV118" s="297"/>
      <c r="FW118" s="297"/>
      <c r="FX118" s="297"/>
      <c r="FY118" s="297"/>
      <c r="FZ118" s="297"/>
      <c r="GA118" s="297"/>
      <c r="GB118" s="297"/>
      <c r="GC118" s="297"/>
      <c r="GD118" s="297"/>
      <c r="GE118" s="297"/>
      <c r="GF118" s="297"/>
      <c r="GG118" s="297"/>
      <c r="GH118" s="297"/>
      <c r="GI118" s="297"/>
      <c r="GJ118" s="297"/>
      <c r="GK118" s="297"/>
      <c r="GL118" s="297"/>
      <c r="GM118" s="297"/>
    </row>
    <row r="119" spans="1:207" s="298" customFormat="1">
      <c r="A119" s="648"/>
      <c r="B119" s="708" t="s">
        <v>940</v>
      </c>
      <c r="C119" s="649">
        <f t="shared" ref="C119:I119" si="26">C98-C94+C99-C100+C110-C111</f>
        <v>11071.3</v>
      </c>
      <c r="D119" s="686">
        <f t="shared" si="26"/>
        <v>1046992.4299999999</v>
      </c>
      <c r="E119" s="650">
        <f t="shared" si="26"/>
        <v>4598125</v>
      </c>
      <c r="F119" s="650">
        <f t="shared" si="26"/>
        <v>1301507.26</v>
      </c>
      <c r="G119" s="650">
        <f t="shared" si="26"/>
        <v>255414.04</v>
      </c>
      <c r="H119" s="650">
        <f t="shared" si="26"/>
        <v>2380</v>
      </c>
      <c r="I119" s="1367">
        <f t="shared" si="26"/>
        <v>4126023.2179999994</v>
      </c>
      <c r="J119" s="297"/>
      <c r="K119" s="297"/>
      <c r="L119" s="297"/>
      <c r="M119" s="297"/>
      <c r="N119" s="297"/>
      <c r="O119" s="297"/>
      <c r="P119" s="1436"/>
      <c r="Q119" s="1436"/>
      <c r="R119" s="1436"/>
      <c r="S119" s="1436"/>
      <c r="T119" s="1436"/>
      <c r="U119" s="1436"/>
      <c r="V119" s="1436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  <c r="CD119" s="297"/>
      <c r="CE119" s="297"/>
      <c r="CF119" s="297"/>
      <c r="CG119" s="297"/>
      <c r="CH119" s="297"/>
      <c r="CI119" s="297"/>
      <c r="CJ119" s="297"/>
      <c r="CK119" s="297"/>
      <c r="CL119" s="297"/>
      <c r="CM119" s="297"/>
      <c r="CN119" s="297"/>
      <c r="CO119" s="297"/>
      <c r="CP119" s="297"/>
      <c r="CQ119" s="297"/>
      <c r="CR119" s="297"/>
      <c r="CS119" s="297"/>
      <c r="CT119" s="297"/>
      <c r="CU119" s="297"/>
      <c r="CV119" s="297"/>
      <c r="CW119" s="297"/>
      <c r="CX119" s="297"/>
      <c r="CY119" s="297"/>
      <c r="CZ119" s="297"/>
      <c r="DA119" s="297"/>
      <c r="DB119" s="297"/>
      <c r="DC119" s="297"/>
      <c r="DD119" s="297"/>
      <c r="DE119" s="297"/>
      <c r="DF119" s="297"/>
      <c r="DG119" s="297"/>
      <c r="DH119" s="297"/>
      <c r="DI119" s="297"/>
      <c r="DJ119" s="297"/>
      <c r="DK119" s="297"/>
      <c r="DL119" s="297"/>
      <c r="DM119" s="297"/>
      <c r="DN119" s="297"/>
      <c r="DO119" s="297"/>
      <c r="DP119" s="297"/>
      <c r="DQ119" s="297"/>
      <c r="DR119" s="297"/>
      <c r="DS119" s="297"/>
      <c r="DT119" s="297"/>
      <c r="DU119" s="297"/>
      <c r="DV119" s="297"/>
      <c r="DW119" s="297"/>
      <c r="DX119" s="297"/>
      <c r="DY119" s="297"/>
      <c r="DZ119" s="297"/>
      <c r="EA119" s="297"/>
      <c r="EB119" s="297"/>
      <c r="EC119" s="297"/>
      <c r="ED119" s="297"/>
      <c r="EE119" s="297"/>
      <c r="EF119" s="297"/>
      <c r="EG119" s="297"/>
      <c r="EH119" s="297"/>
      <c r="EI119" s="297"/>
      <c r="EJ119" s="297"/>
      <c r="EK119" s="297"/>
      <c r="EL119" s="297"/>
      <c r="EM119" s="297"/>
      <c r="EN119" s="297"/>
      <c r="EO119" s="297"/>
      <c r="EP119" s="297"/>
      <c r="EQ119" s="297"/>
      <c r="ER119" s="297"/>
      <c r="ES119" s="297"/>
      <c r="ET119" s="297"/>
      <c r="EU119" s="297"/>
      <c r="EV119" s="297"/>
      <c r="EW119" s="297"/>
      <c r="EX119" s="297"/>
      <c r="EY119" s="297"/>
      <c r="EZ119" s="297"/>
      <c r="FA119" s="297"/>
      <c r="FB119" s="297"/>
      <c r="FC119" s="297"/>
      <c r="FD119" s="297"/>
      <c r="FE119" s="297"/>
      <c r="FF119" s="297"/>
      <c r="FG119" s="297"/>
      <c r="FH119" s="297"/>
      <c r="FI119" s="297"/>
      <c r="FJ119" s="297"/>
      <c r="FK119" s="297"/>
      <c r="FL119" s="297"/>
      <c r="FM119" s="297"/>
      <c r="FN119" s="297"/>
      <c r="FO119" s="297"/>
      <c r="FP119" s="297"/>
      <c r="FQ119" s="297"/>
      <c r="FR119" s="297"/>
      <c r="FS119" s="297"/>
      <c r="FT119" s="297"/>
      <c r="FU119" s="297"/>
      <c r="FV119" s="297"/>
      <c r="FW119" s="297"/>
      <c r="FX119" s="297"/>
      <c r="FY119" s="297"/>
      <c r="FZ119" s="297"/>
      <c r="GA119" s="297"/>
      <c r="GB119" s="297"/>
      <c r="GC119" s="297"/>
      <c r="GD119" s="297"/>
      <c r="GE119" s="297"/>
      <c r="GF119" s="297"/>
      <c r="GG119" s="297"/>
      <c r="GH119" s="297"/>
      <c r="GI119" s="297"/>
      <c r="GJ119" s="297"/>
      <c r="GK119" s="297"/>
      <c r="GL119" s="297"/>
      <c r="GM119" s="297"/>
    </row>
    <row r="120" spans="1:207" s="298" customFormat="1">
      <c r="A120" s="651" t="s">
        <v>166</v>
      </c>
      <c r="B120" s="676" t="s">
        <v>941</v>
      </c>
      <c r="C120" s="633">
        <v>579450.84000000008</v>
      </c>
      <c r="D120" s="681">
        <v>1355455.84</v>
      </c>
      <c r="E120" s="19">
        <v>633390.83999999985</v>
      </c>
      <c r="F120" s="19">
        <v>1086579.8399999999</v>
      </c>
      <c r="G120" s="19">
        <f>1698794.76*0+1622950</f>
        <v>1622950</v>
      </c>
      <c r="H120" s="19">
        <v>2118116.48</v>
      </c>
      <c r="I120" s="1368">
        <f>I121+I126+I131</f>
        <v>-46541</v>
      </c>
      <c r="J120" s="297"/>
      <c r="K120" s="297"/>
      <c r="L120" s="297"/>
      <c r="M120" s="297"/>
      <c r="N120" s="297"/>
      <c r="O120" s="297"/>
      <c r="P120" s="1436"/>
      <c r="Q120" s="1436"/>
      <c r="R120" s="1436"/>
      <c r="S120" s="1436"/>
      <c r="T120" s="1436"/>
      <c r="U120" s="1436"/>
      <c r="V120" s="1436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  <c r="CD120" s="297"/>
      <c r="CE120" s="297"/>
      <c r="CF120" s="297"/>
      <c r="CG120" s="297"/>
      <c r="CH120" s="297"/>
      <c r="CI120" s="297"/>
      <c r="CJ120" s="297"/>
      <c r="CK120" s="297"/>
      <c r="CL120" s="297"/>
      <c r="CM120" s="297"/>
      <c r="CN120" s="297"/>
      <c r="CO120" s="297"/>
      <c r="CP120" s="297"/>
      <c r="CQ120" s="297"/>
      <c r="CR120" s="297"/>
      <c r="CS120" s="297"/>
      <c r="CT120" s="297"/>
      <c r="CU120" s="297"/>
      <c r="CV120" s="297"/>
      <c r="CW120" s="297"/>
      <c r="CX120" s="297"/>
      <c r="CY120" s="297"/>
      <c r="CZ120" s="297"/>
      <c r="DA120" s="297"/>
      <c r="DB120" s="297"/>
      <c r="DC120" s="297"/>
      <c r="DD120" s="297"/>
      <c r="DE120" s="297"/>
      <c r="DF120" s="297"/>
      <c r="DG120" s="297"/>
      <c r="DH120" s="297"/>
      <c r="DI120" s="297"/>
      <c r="DJ120" s="297"/>
      <c r="DK120" s="297"/>
      <c r="DL120" s="297"/>
      <c r="DM120" s="297"/>
      <c r="DN120" s="297"/>
      <c r="DO120" s="297"/>
      <c r="DP120" s="297"/>
      <c r="DQ120" s="297"/>
      <c r="DR120" s="297"/>
      <c r="DS120" s="297"/>
      <c r="DT120" s="297"/>
      <c r="DU120" s="297"/>
      <c r="DV120" s="297"/>
      <c r="DW120" s="297"/>
      <c r="DX120" s="297"/>
      <c r="DY120" s="297"/>
      <c r="DZ120" s="297"/>
      <c r="EA120" s="297"/>
      <c r="EB120" s="297"/>
      <c r="EC120" s="297"/>
      <c r="ED120" s="297"/>
      <c r="EE120" s="297"/>
      <c r="EF120" s="297"/>
      <c r="EG120" s="297"/>
      <c r="EH120" s="297"/>
      <c r="EI120" s="297"/>
      <c r="EJ120" s="297"/>
      <c r="EK120" s="297"/>
      <c r="EL120" s="297"/>
      <c r="EM120" s="297"/>
      <c r="EN120" s="297"/>
      <c r="EO120" s="297"/>
      <c r="EP120" s="297"/>
      <c r="EQ120" s="297"/>
      <c r="ER120" s="297"/>
      <c r="ES120" s="297"/>
      <c r="ET120" s="297"/>
      <c r="EU120" s="297"/>
      <c r="EV120" s="297"/>
      <c r="EW120" s="297"/>
      <c r="EX120" s="297"/>
      <c r="EY120" s="297"/>
      <c r="EZ120" s="297"/>
      <c r="FA120" s="297"/>
      <c r="FB120" s="297"/>
      <c r="FC120" s="297"/>
      <c r="FD120" s="297"/>
      <c r="FE120" s="297"/>
      <c r="FF120" s="297"/>
      <c r="FG120" s="297"/>
      <c r="FH120" s="297"/>
      <c r="FI120" s="297"/>
      <c r="FJ120" s="297"/>
      <c r="FK120" s="297"/>
      <c r="FL120" s="297"/>
      <c r="FM120" s="297"/>
      <c r="FN120" s="297"/>
      <c r="FO120" s="297"/>
      <c r="FP120" s="297"/>
      <c r="FQ120" s="297"/>
      <c r="FR120" s="297"/>
      <c r="FS120" s="297"/>
      <c r="FT120" s="297"/>
      <c r="FU120" s="297"/>
      <c r="FV120" s="297"/>
      <c r="FW120" s="297"/>
      <c r="FX120" s="297"/>
      <c r="FY120" s="297"/>
      <c r="FZ120" s="297"/>
      <c r="GA120" s="297"/>
      <c r="GB120" s="297"/>
      <c r="GC120" s="297"/>
      <c r="GD120" s="297"/>
      <c r="GE120" s="297"/>
      <c r="GF120" s="297"/>
      <c r="GG120" s="297"/>
      <c r="GH120" s="297"/>
      <c r="GI120" s="297"/>
      <c r="GJ120" s="297"/>
      <c r="GK120" s="297"/>
      <c r="GL120" s="297"/>
      <c r="GM120" s="297"/>
    </row>
    <row r="121" spans="1:207" s="298" customFormat="1">
      <c r="A121" s="652" t="s">
        <v>167</v>
      </c>
      <c r="B121" s="709" t="s">
        <v>942</v>
      </c>
      <c r="C121" s="1711"/>
      <c r="D121" s="1712"/>
      <c r="E121" s="1712"/>
      <c r="F121" s="1712"/>
      <c r="G121" s="1712"/>
      <c r="H121" s="1713"/>
      <c r="I121" s="1369">
        <f>SUM(I122:I125)</f>
        <v>-54591</v>
      </c>
      <c r="J121" s="297"/>
      <c r="K121" s="297"/>
      <c r="L121" s="297"/>
      <c r="M121" s="297"/>
      <c r="N121" s="297"/>
      <c r="O121" s="297"/>
      <c r="P121" s="1436"/>
      <c r="Q121" s="1436"/>
      <c r="R121" s="1436"/>
      <c r="S121" s="1436"/>
      <c r="T121" s="1436"/>
      <c r="U121" s="1436"/>
      <c r="V121" s="1436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  <c r="CD121" s="297"/>
      <c r="CE121" s="297"/>
      <c r="CF121" s="297"/>
      <c r="CG121" s="297"/>
      <c r="CH121" s="297"/>
      <c r="CI121" s="297"/>
      <c r="CJ121" s="297"/>
      <c r="CK121" s="297"/>
      <c r="CL121" s="297"/>
      <c r="CM121" s="297"/>
      <c r="CN121" s="297"/>
      <c r="CO121" s="297"/>
      <c r="CP121" s="297"/>
      <c r="CQ121" s="297"/>
      <c r="CR121" s="297"/>
      <c r="CS121" s="297"/>
      <c r="CT121" s="297"/>
      <c r="CU121" s="297"/>
      <c r="CV121" s="297"/>
      <c r="CW121" s="297"/>
      <c r="CX121" s="297"/>
      <c r="CY121" s="297"/>
      <c r="CZ121" s="297"/>
      <c r="DA121" s="297"/>
      <c r="DB121" s="297"/>
      <c r="DC121" s="297"/>
      <c r="DD121" s="297"/>
      <c r="DE121" s="297"/>
      <c r="DF121" s="297"/>
      <c r="DG121" s="297"/>
      <c r="DH121" s="297"/>
      <c r="DI121" s="297"/>
      <c r="DJ121" s="297"/>
      <c r="DK121" s="297"/>
      <c r="DL121" s="297"/>
      <c r="DM121" s="297"/>
      <c r="DN121" s="297"/>
      <c r="DO121" s="297"/>
      <c r="DP121" s="297"/>
      <c r="DQ121" s="297"/>
      <c r="DR121" s="297"/>
      <c r="DS121" s="297"/>
      <c r="DT121" s="297"/>
      <c r="DU121" s="297"/>
      <c r="DV121" s="297"/>
      <c r="DW121" s="297"/>
      <c r="DX121" s="297"/>
      <c r="DY121" s="297"/>
      <c r="DZ121" s="297"/>
      <c r="EA121" s="297"/>
      <c r="EB121" s="297"/>
      <c r="EC121" s="297"/>
      <c r="ED121" s="297"/>
      <c r="EE121" s="297"/>
      <c r="EF121" s="297"/>
      <c r="EG121" s="297"/>
      <c r="EH121" s="297"/>
      <c r="EI121" s="297"/>
      <c r="EJ121" s="297"/>
      <c r="EK121" s="297"/>
      <c r="EL121" s="297"/>
      <c r="EM121" s="297"/>
      <c r="EN121" s="297"/>
      <c r="EO121" s="297"/>
      <c r="EP121" s="297"/>
      <c r="EQ121" s="297"/>
      <c r="ER121" s="297"/>
      <c r="ES121" s="297"/>
      <c r="ET121" s="297"/>
      <c r="EU121" s="297"/>
      <c r="EV121" s="297"/>
      <c r="EW121" s="297"/>
      <c r="EX121" s="297"/>
      <c r="EY121" s="297"/>
      <c r="EZ121" s="297"/>
      <c r="FA121" s="297"/>
      <c r="FB121" s="297"/>
      <c r="FC121" s="297"/>
      <c r="FD121" s="297"/>
      <c r="FE121" s="297"/>
      <c r="FF121" s="297"/>
      <c r="FG121" s="297"/>
      <c r="FH121" s="297"/>
      <c r="FI121" s="297"/>
      <c r="FJ121" s="297"/>
      <c r="FK121" s="297"/>
      <c r="FL121" s="297"/>
      <c r="FM121" s="297"/>
      <c r="FN121" s="297"/>
      <c r="FO121" s="297"/>
      <c r="FP121" s="297"/>
      <c r="FQ121" s="297"/>
      <c r="FR121" s="297"/>
      <c r="FS121" s="297"/>
      <c r="FT121" s="297"/>
      <c r="FU121" s="297"/>
      <c r="FV121" s="297"/>
      <c r="FW121" s="297"/>
      <c r="FX121" s="297"/>
      <c r="FY121" s="297"/>
      <c r="FZ121" s="297"/>
      <c r="GA121" s="297"/>
      <c r="GB121" s="297"/>
      <c r="GC121" s="297"/>
      <c r="GD121" s="297"/>
      <c r="GE121" s="297"/>
      <c r="GF121" s="297"/>
      <c r="GG121" s="297"/>
      <c r="GH121" s="297"/>
      <c r="GI121" s="297"/>
      <c r="GJ121" s="297"/>
      <c r="GK121" s="297"/>
      <c r="GL121" s="297"/>
      <c r="GM121" s="297"/>
      <c r="GN121" s="297"/>
      <c r="GO121" s="297"/>
      <c r="GP121" s="297"/>
      <c r="GQ121" s="297"/>
      <c r="GR121" s="297"/>
      <c r="GS121" s="297"/>
      <c r="GT121" s="297"/>
      <c r="GU121" s="297"/>
      <c r="GV121" s="297"/>
      <c r="GW121" s="297"/>
      <c r="GX121" s="297"/>
      <c r="GY121" s="297"/>
    </row>
    <row r="122" spans="1:207" s="299" customFormat="1">
      <c r="A122" s="368" t="s">
        <v>206</v>
      </c>
      <c r="B122" s="701" t="s">
        <v>1035</v>
      </c>
      <c r="C122" s="1714"/>
      <c r="D122" s="1715"/>
      <c r="E122" s="1715"/>
      <c r="F122" s="1715"/>
      <c r="G122" s="1715"/>
      <c r="H122" s="1716"/>
      <c r="I122" s="1361">
        <v>-54591</v>
      </c>
      <c r="P122" s="149"/>
      <c r="Q122" s="149"/>
      <c r="R122" s="149"/>
      <c r="S122" s="149"/>
      <c r="T122" s="149"/>
      <c r="U122" s="149"/>
      <c r="V122" s="149"/>
    </row>
    <row r="123" spans="1:207" s="299" customFormat="1">
      <c r="A123" s="368" t="s">
        <v>207</v>
      </c>
      <c r="B123" s="675"/>
      <c r="C123" s="1714"/>
      <c r="D123" s="1715"/>
      <c r="E123" s="1715"/>
      <c r="F123" s="1715"/>
      <c r="G123" s="1715"/>
      <c r="H123" s="1716"/>
      <c r="I123" s="1361"/>
      <c r="P123" s="149"/>
      <c r="Q123" s="149"/>
      <c r="R123" s="149"/>
      <c r="S123" s="149"/>
      <c r="T123" s="149"/>
      <c r="U123" s="149"/>
      <c r="V123" s="149"/>
    </row>
    <row r="124" spans="1:207" s="299" customFormat="1">
      <c r="A124" s="368" t="s">
        <v>212</v>
      </c>
      <c r="B124" s="675"/>
      <c r="C124" s="1714"/>
      <c r="D124" s="1715"/>
      <c r="E124" s="1715"/>
      <c r="F124" s="1715"/>
      <c r="G124" s="1715"/>
      <c r="H124" s="1716"/>
      <c r="I124" s="1361"/>
      <c r="P124" s="149"/>
      <c r="Q124" s="149"/>
      <c r="R124" s="149"/>
      <c r="S124" s="149"/>
      <c r="T124" s="149"/>
      <c r="U124" s="149"/>
      <c r="V124" s="149"/>
    </row>
    <row r="125" spans="1:207" s="299" customFormat="1">
      <c r="A125" s="368" t="s">
        <v>943</v>
      </c>
      <c r="B125" s="675"/>
      <c r="C125" s="1714"/>
      <c r="D125" s="1715"/>
      <c r="E125" s="1715"/>
      <c r="F125" s="1715"/>
      <c r="G125" s="1715"/>
      <c r="H125" s="1716"/>
      <c r="I125" s="1361"/>
      <c r="P125" s="149"/>
      <c r="Q125" s="149"/>
      <c r="R125" s="149"/>
      <c r="S125" s="149"/>
      <c r="T125" s="149"/>
      <c r="U125" s="149"/>
      <c r="V125" s="149"/>
    </row>
    <row r="126" spans="1:207" s="299" customFormat="1">
      <c r="A126" s="652" t="s">
        <v>168</v>
      </c>
      <c r="B126" s="709" t="s">
        <v>944</v>
      </c>
      <c r="C126" s="1714"/>
      <c r="D126" s="1715"/>
      <c r="E126" s="1715"/>
      <c r="F126" s="1715"/>
      <c r="G126" s="1715"/>
      <c r="H126" s="1716"/>
      <c r="I126" s="1369">
        <f>SUM(I127:I130)</f>
        <v>0</v>
      </c>
      <c r="P126" s="149"/>
      <c r="Q126" s="149"/>
      <c r="R126" s="149"/>
      <c r="S126" s="149"/>
      <c r="T126" s="149"/>
      <c r="U126" s="149"/>
      <c r="V126" s="149"/>
    </row>
    <row r="127" spans="1:207" s="298" customFormat="1">
      <c r="A127" s="368" t="s">
        <v>208</v>
      </c>
      <c r="B127" s="675"/>
      <c r="C127" s="1714"/>
      <c r="D127" s="1715"/>
      <c r="E127" s="1715"/>
      <c r="F127" s="1715"/>
      <c r="G127" s="1715"/>
      <c r="H127" s="1716"/>
      <c r="I127" s="1361"/>
      <c r="J127" s="297"/>
      <c r="K127" s="297"/>
      <c r="L127" s="297"/>
      <c r="M127" s="297"/>
      <c r="N127" s="297"/>
      <c r="O127" s="297"/>
      <c r="P127" s="1436"/>
      <c r="Q127" s="1436"/>
      <c r="R127" s="1436"/>
      <c r="S127" s="1436"/>
      <c r="T127" s="1436"/>
      <c r="U127" s="1436"/>
      <c r="V127" s="1436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  <c r="CD127" s="297"/>
      <c r="CE127" s="297"/>
      <c r="CF127" s="297"/>
      <c r="CG127" s="297"/>
      <c r="CH127" s="297"/>
      <c r="CI127" s="297"/>
      <c r="CJ127" s="297"/>
      <c r="CK127" s="297"/>
      <c r="CL127" s="297"/>
      <c r="CM127" s="297"/>
      <c r="CN127" s="297"/>
      <c r="CO127" s="297"/>
      <c r="CP127" s="297"/>
      <c r="CQ127" s="297"/>
      <c r="CR127" s="297"/>
      <c r="CS127" s="297"/>
      <c r="CT127" s="297"/>
      <c r="CU127" s="297"/>
      <c r="CV127" s="297"/>
      <c r="CW127" s="297"/>
      <c r="CX127" s="297"/>
      <c r="CY127" s="297"/>
      <c r="CZ127" s="297"/>
      <c r="DA127" s="297"/>
      <c r="DB127" s="297"/>
      <c r="DC127" s="297"/>
      <c r="DD127" s="297"/>
      <c r="DE127" s="297"/>
      <c r="DF127" s="297"/>
      <c r="DG127" s="297"/>
      <c r="DH127" s="297"/>
      <c r="DI127" s="297"/>
      <c r="DJ127" s="297"/>
      <c r="DK127" s="297"/>
      <c r="DL127" s="297"/>
      <c r="DM127" s="297"/>
      <c r="DN127" s="297"/>
      <c r="DO127" s="297"/>
      <c r="DP127" s="297"/>
      <c r="DQ127" s="297"/>
      <c r="DR127" s="297"/>
      <c r="DS127" s="297"/>
      <c r="DT127" s="297"/>
      <c r="DU127" s="297"/>
      <c r="DV127" s="297"/>
      <c r="DW127" s="297"/>
      <c r="DX127" s="297"/>
      <c r="DY127" s="297"/>
      <c r="DZ127" s="297"/>
      <c r="EA127" s="297"/>
      <c r="EB127" s="297"/>
      <c r="EC127" s="297"/>
      <c r="ED127" s="297"/>
      <c r="EE127" s="297"/>
      <c r="EF127" s="297"/>
      <c r="EG127" s="297"/>
      <c r="EH127" s="297"/>
      <c r="EI127" s="297"/>
      <c r="EJ127" s="297"/>
      <c r="EK127" s="297"/>
      <c r="EL127" s="297"/>
      <c r="EM127" s="297"/>
      <c r="EN127" s="297"/>
      <c r="EO127" s="297"/>
      <c r="EP127" s="297"/>
      <c r="EQ127" s="297"/>
      <c r="ER127" s="297"/>
      <c r="ES127" s="297"/>
      <c r="ET127" s="297"/>
      <c r="EU127" s="297"/>
      <c r="EV127" s="297"/>
      <c r="EW127" s="297"/>
      <c r="EX127" s="297"/>
      <c r="EY127" s="297"/>
      <c r="EZ127" s="297"/>
      <c r="FA127" s="297"/>
      <c r="FB127" s="297"/>
      <c r="FC127" s="297"/>
      <c r="FD127" s="297"/>
      <c r="FE127" s="297"/>
      <c r="FF127" s="297"/>
      <c r="FG127" s="297"/>
      <c r="FH127" s="297"/>
      <c r="FI127" s="297"/>
      <c r="FJ127" s="297"/>
      <c r="FK127" s="297"/>
      <c r="FL127" s="297"/>
      <c r="FM127" s="297"/>
      <c r="FN127" s="297"/>
      <c r="FO127" s="297"/>
      <c r="FP127" s="297"/>
      <c r="FQ127" s="297"/>
      <c r="FR127" s="297"/>
      <c r="FS127" s="297"/>
      <c r="FT127" s="297"/>
      <c r="FU127" s="297"/>
      <c r="FV127" s="297"/>
      <c r="FW127" s="297"/>
      <c r="FX127" s="297"/>
      <c r="FY127" s="297"/>
      <c r="FZ127" s="297"/>
      <c r="GA127" s="297"/>
      <c r="GB127" s="297"/>
      <c r="GC127" s="297"/>
      <c r="GD127" s="297"/>
      <c r="GE127" s="297"/>
      <c r="GF127" s="297"/>
      <c r="GG127" s="297"/>
      <c r="GH127" s="297"/>
      <c r="GI127" s="297"/>
      <c r="GJ127" s="297"/>
      <c r="GK127" s="297"/>
      <c r="GL127" s="297"/>
      <c r="GM127" s="297"/>
      <c r="GN127" s="297"/>
      <c r="GO127" s="297"/>
      <c r="GP127" s="297"/>
      <c r="GQ127" s="297"/>
      <c r="GR127" s="297"/>
      <c r="GS127" s="297"/>
      <c r="GT127" s="297"/>
      <c r="GU127" s="297"/>
      <c r="GV127" s="297"/>
      <c r="GW127" s="297"/>
      <c r="GX127" s="297"/>
      <c r="GY127" s="297"/>
    </row>
    <row r="128" spans="1:207">
      <c r="A128" s="368" t="s">
        <v>209</v>
      </c>
      <c r="B128" s="675"/>
      <c r="C128" s="1714"/>
      <c r="D128" s="1715"/>
      <c r="E128" s="1715"/>
      <c r="F128" s="1715"/>
      <c r="G128" s="1715"/>
      <c r="H128" s="1716"/>
      <c r="I128" s="1361"/>
      <c r="J128" s="299"/>
      <c r="K128" s="299"/>
      <c r="L128" s="299"/>
      <c r="M128" s="299"/>
      <c r="N128" s="299"/>
      <c r="O128" s="299"/>
      <c r="W128" s="299"/>
      <c r="X128" s="299"/>
      <c r="Y128" s="299"/>
      <c r="Z128" s="299"/>
      <c r="AA128" s="299"/>
      <c r="AB128" s="299"/>
      <c r="AC128" s="299"/>
      <c r="AD128" s="299"/>
      <c r="AE128" s="299"/>
      <c r="AF128" s="299"/>
      <c r="AG128" s="299"/>
      <c r="AH128" s="299"/>
      <c r="AI128" s="299"/>
      <c r="AJ128" s="299"/>
      <c r="AK128" s="299"/>
      <c r="AL128" s="299"/>
      <c r="AM128" s="299"/>
      <c r="AN128" s="299"/>
      <c r="AO128" s="299"/>
      <c r="AP128" s="299"/>
      <c r="AQ128" s="299"/>
      <c r="AR128" s="299"/>
      <c r="AS128" s="299"/>
      <c r="AT128" s="299"/>
      <c r="AU128" s="299"/>
      <c r="AV128" s="299"/>
      <c r="AW128" s="299"/>
      <c r="AX128" s="299"/>
      <c r="AY128" s="299"/>
      <c r="AZ128" s="299"/>
      <c r="BA128" s="299"/>
      <c r="BB128" s="299"/>
      <c r="BC128" s="299"/>
      <c r="BD128" s="299"/>
      <c r="BE128" s="299"/>
      <c r="BF128" s="299"/>
      <c r="BG128" s="299"/>
      <c r="BH128" s="299"/>
      <c r="BI128" s="299"/>
      <c r="BJ128" s="299"/>
      <c r="BK128" s="299"/>
      <c r="BL128" s="299"/>
      <c r="BM128" s="299"/>
      <c r="BN128" s="299"/>
      <c r="BO128" s="299"/>
      <c r="BP128" s="299"/>
      <c r="BQ128" s="299"/>
      <c r="BR128" s="299"/>
      <c r="BS128" s="299"/>
      <c r="BT128" s="299"/>
      <c r="BU128" s="299"/>
      <c r="BV128" s="299"/>
      <c r="BW128" s="299"/>
      <c r="BX128" s="299"/>
      <c r="BY128" s="299"/>
      <c r="BZ128" s="299"/>
      <c r="CA128" s="299"/>
      <c r="CB128" s="299"/>
      <c r="CC128" s="299"/>
      <c r="CD128" s="299"/>
      <c r="CE128" s="299"/>
      <c r="CF128" s="299"/>
      <c r="CG128" s="299"/>
      <c r="CH128" s="299"/>
      <c r="CI128" s="299"/>
      <c r="CJ128" s="299"/>
      <c r="CK128" s="299"/>
      <c r="CL128" s="299"/>
      <c r="CM128" s="299"/>
      <c r="CN128" s="299"/>
      <c r="CO128" s="299"/>
      <c r="CP128" s="299"/>
      <c r="CQ128" s="299"/>
      <c r="CR128" s="299"/>
      <c r="CS128" s="299"/>
      <c r="CT128" s="299"/>
      <c r="CU128" s="299"/>
      <c r="CV128" s="299"/>
      <c r="CW128" s="299"/>
      <c r="CX128" s="299"/>
      <c r="CY128" s="299"/>
      <c r="CZ128" s="299"/>
      <c r="DA128" s="299"/>
      <c r="DB128" s="299"/>
      <c r="DC128" s="299"/>
      <c r="DD128" s="299"/>
      <c r="DE128" s="299"/>
      <c r="DF128" s="299"/>
      <c r="DG128" s="299"/>
      <c r="DH128" s="299"/>
      <c r="DI128" s="299"/>
      <c r="DJ128" s="299"/>
      <c r="DK128" s="299"/>
      <c r="DL128" s="299"/>
      <c r="DM128" s="299"/>
      <c r="DN128" s="299"/>
      <c r="DO128" s="299"/>
      <c r="DP128" s="299"/>
      <c r="DQ128" s="299"/>
      <c r="DR128" s="299"/>
      <c r="DS128" s="299"/>
      <c r="DT128" s="299"/>
      <c r="DU128" s="299"/>
      <c r="DV128" s="299"/>
      <c r="DW128" s="299"/>
      <c r="DX128" s="299"/>
      <c r="DY128" s="299"/>
      <c r="DZ128" s="299"/>
      <c r="EA128" s="299"/>
      <c r="EB128" s="299"/>
      <c r="EC128" s="299"/>
      <c r="ED128" s="299"/>
      <c r="EE128" s="299"/>
      <c r="EF128" s="299"/>
      <c r="EG128" s="299"/>
      <c r="EH128" s="299"/>
      <c r="EI128" s="299"/>
      <c r="EJ128" s="299"/>
      <c r="EK128" s="299"/>
      <c r="EL128" s="299"/>
      <c r="EM128" s="299"/>
      <c r="EN128" s="299"/>
      <c r="EO128" s="299"/>
      <c r="EP128" s="299"/>
      <c r="EQ128" s="299"/>
      <c r="ER128" s="299"/>
      <c r="ES128" s="299"/>
      <c r="ET128" s="299"/>
      <c r="EU128" s="299"/>
      <c r="EV128" s="299"/>
      <c r="EW128" s="299"/>
      <c r="EX128" s="299"/>
      <c r="EY128" s="299"/>
      <c r="EZ128" s="299"/>
      <c r="FA128" s="299"/>
      <c r="FB128" s="299"/>
      <c r="FC128" s="299"/>
      <c r="FD128" s="299"/>
      <c r="FE128" s="299"/>
      <c r="FF128" s="299"/>
      <c r="FG128" s="299"/>
      <c r="FH128" s="299"/>
      <c r="FI128" s="299"/>
      <c r="FJ128" s="299"/>
      <c r="FK128" s="299"/>
      <c r="FL128" s="299"/>
      <c r="FM128" s="299"/>
      <c r="FN128" s="299"/>
      <c r="FO128" s="299"/>
      <c r="FP128" s="299"/>
      <c r="FQ128" s="299"/>
      <c r="FR128" s="299"/>
      <c r="FS128" s="299"/>
      <c r="FT128" s="299"/>
      <c r="FU128" s="299"/>
      <c r="FV128" s="299"/>
      <c r="FW128" s="299"/>
      <c r="FX128" s="299"/>
      <c r="FY128" s="299"/>
      <c r="FZ128" s="299"/>
      <c r="GA128" s="299"/>
      <c r="GB128" s="299"/>
      <c r="GC128" s="299"/>
      <c r="GD128" s="299"/>
      <c r="GE128" s="299"/>
      <c r="GF128" s="299"/>
      <c r="GG128" s="299"/>
      <c r="GH128" s="299"/>
      <c r="GI128" s="299"/>
      <c r="GJ128" s="299"/>
      <c r="GK128" s="299"/>
      <c r="GL128" s="299"/>
      <c r="GM128" s="299"/>
      <c r="GN128" s="299"/>
      <c r="GO128" s="299"/>
      <c r="GP128" s="299"/>
      <c r="GQ128" s="299"/>
      <c r="GR128" s="299"/>
      <c r="GS128" s="299"/>
      <c r="GT128" s="299"/>
      <c r="GU128" s="299"/>
      <c r="GV128" s="299"/>
      <c r="GW128" s="299"/>
      <c r="GX128" s="299"/>
      <c r="GY128" s="299"/>
    </row>
    <row r="129" spans="1:207">
      <c r="A129" s="368" t="s">
        <v>213</v>
      </c>
      <c r="B129" s="675"/>
      <c r="C129" s="1714"/>
      <c r="D129" s="1715"/>
      <c r="E129" s="1715"/>
      <c r="F129" s="1715"/>
      <c r="G129" s="1715"/>
      <c r="H129" s="1716"/>
      <c r="I129" s="1361"/>
      <c r="J129" s="299"/>
      <c r="K129" s="299"/>
      <c r="L129" s="299"/>
      <c r="M129" s="299"/>
      <c r="N129" s="299"/>
      <c r="O129" s="299"/>
      <c r="W129" s="299"/>
      <c r="X129" s="299"/>
      <c r="Y129" s="299"/>
      <c r="Z129" s="299"/>
      <c r="AA129" s="299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299"/>
      <c r="AM129" s="299"/>
      <c r="AN129" s="299"/>
      <c r="AO129" s="299"/>
      <c r="AP129" s="299"/>
      <c r="AQ129" s="299"/>
      <c r="AR129" s="299"/>
      <c r="AS129" s="299"/>
      <c r="AT129" s="299"/>
      <c r="AU129" s="299"/>
      <c r="AV129" s="299"/>
      <c r="AW129" s="299"/>
      <c r="AX129" s="299"/>
      <c r="AY129" s="299"/>
      <c r="AZ129" s="299"/>
      <c r="BA129" s="299"/>
      <c r="BB129" s="299"/>
      <c r="BC129" s="299"/>
      <c r="BD129" s="299"/>
      <c r="BE129" s="299"/>
      <c r="BF129" s="299"/>
      <c r="BG129" s="299"/>
      <c r="BH129" s="299"/>
      <c r="BI129" s="299"/>
      <c r="BJ129" s="299"/>
      <c r="BK129" s="299"/>
      <c r="BL129" s="299"/>
      <c r="BM129" s="299"/>
      <c r="BN129" s="299"/>
      <c r="BO129" s="299"/>
      <c r="BP129" s="299"/>
      <c r="BQ129" s="299"/>
      <c r="BR129" s="299"/>
      <c r="BS129" s="299"/>
      <c r="BT129" s="299"/>
      <c r="BU129" s="299"/>
      <c r="BV129" s="299"/>
      <c r="BW129" s="299"/>
      <c r="BX129" s="299"/>
      <c r="BY129" s="299"/>
      <c r="BZ129" s="299"/>
      <c r="CA129" s="299"/>
      <c r="CB129" s="299"/>
      <c r="CC129" s="299"/>
      <c r="CD129" s="299"/>
      <c r="CE129" s="299"/>
      <c r="CF129" s="299"/>
      <c r="CG129" s="299"/>
      <c r="CH129" s="299"/>
      <c r="CI129" s="299"/>
      <c r="CJ129" s="299"/>
      <c r="CK129" s="299"/>
      <c r="CL129" s="299"/>
      <c r="CM129" s="299"/>
      <c r="CN129" s="299"/>
      <c r="CO129" s="299"/>
      <c r="CP129" s="299"/>
      <c r="CQ129" s="299"/>
      <c r="CR129" s="299"/>
      <c r="CS129" s="299"/>
      <c r="CT129" s="299"/>
      <c r="CU129" s="299"/>
      <c r="CV129" s="299"/>
      <c r="CW129" s="299"/>
      <c r="CX129" s="299"/>
      <c r="CY129" s="299"/>
      <c r="CZ129" s="299"/>
      <c r="DA129" s="299"/>
      <c r="DB129" s="299"/>
      <c r="DC129" s="299"/>
      <c r="DD129" s="299"/>
      <c r="DE129" s="299"/>
      <c r="DF129" s="299"/>
      <c r="DG129" s="299"/>
      <c r="DH129" s="299"/>
      <c r="DI129" s="299"/>
      <c r="DJ129" s="299"/>
      <c r="DK129" s="299"/>
      <c r="DL129" s="299"/>
      <c r="DM129" s="299"/>
      <c r="DN129" s="299"/>
      <c r="DO129" s="299"/>
      <c r="DP129" s="299"/>
      <c r="DQ129" s="299"/>
      <c r="DR129" s="299"/>
      <c r="DS129" s="299"/>
      <c r="DT129" s="299"/>
      <c r="DU129" s="299"/>
      <c r="DV129" s="299"/>
      <c r="DW129" s="299"/>
      <c r="DX129" s="299"/>
      <c r="DY129" s="299"/>
      <c r="DZ129" s="299"/>
      <c r="EA129" s="299"/>
      <c r="EB129" s="299"/>
      <c r="EC129" s="299"/>
      <c r="ED129" s="299"/>
      <c r="EE129" s="299"/>
      <c r="EF129" s="299"/>
      <c r="EG129" s="299"/>
      <c r="EH129" s="299"/>
      <c r="EI129" s="299"/>
      <c r="EJ129" s="299"/>
      <c r="EK129" s="299"/>
      <c r="EL129" s="299"/>
      <c r="EM129" s="299"/>
      <c r="EN129" s="299"/>
      <c r="EO129" s="299"/>
      <c r="EP129" s="299"/>
      <c r="EQ129" s="299"/>
      <c r="ER129" s="299"/>
      <c r="ES129" s="299"/>
      <c r="ET129" s="299"/>
      <c r="EU129" s="299"/>
      <c r="EV129" s="299"/>
      <c r="EW129" s="299"/>
      <c r="EX129" s="299"/>
      <c r="EY129" s="299"/>
      <c r="EZ129" s="299"/>
      <c r="FA129" s="299"/>
      <c r="FB129" s="299"/>
      <c r="FC129" s="299"/>
      <c r="FD129" s="299"/>
      <c r="FE129" s="299"/>
      <c r="FF129" s="299"/>
      <c r="FG129" s="299"/>
      <c r="FH129" s="299"/>
      <c r="FI129" s="299"/>
      <c r="FJ129" s="299"/>
      <c r="FK129" s="299"/>
      <c r="FL129" s="299"/>
      <c r="FM129" s="299"/>
      <c r="FN129" s="299"/>
      <c r="FO129" s="299"/>
      <c r="FP129" s="299"/>
      <c r="FQ129" s="299"/>
      <c r="FR129" s="299"/>
      <c r="FS129" s="299"/>
      <c r="FT129" s="299"/>
      <c r="FU129" s="299"/>
      <c r="FV129" s="299"/>
      <c r="FW129" s="299"/>
      <c r="FX129" s="299"/>
      <c r="FY129" s="299"/>
      <c r="FZ129" s="299"/>
      <c r="GA129" s="299"/>
      <c r="GB129" s="299"/>
      <c r="GC129" s="299"/>
      <c r="GD129" s="299"/>
      <c r="GE129" s="299"/>
      <c r="GF129" s="299"/>
      <c r="GG129" s="299"/>
      <c r="GH129" s="299"/>
      <c r="GI129" s="299"/>
      <c r="GJ129" s="299"/>
      <c r="GK129" s="299"/>
      <c r="GL129" s="299"/>
      <c r="GM129" s="299"/>
      <c r="GN129" s="299"/>
      <c r="GO129" s="299"/>
      <c r="GP129" s="299"/>
      <c r="GQ129" s="299"/>
      <c r="GR129" s="299"/>
      <c r="GS129" s="299"/>
      <c r="GT129" s="299"/>
      <c r="GU129" s="299"/>
      <c r="GV129" s="299"/>
      <c r="GW129" s="299"/>
      <c r="GX129" s="299"/>
      <c r="GY129" s="299"/>
    </row>
    <row r="130" spans="1:207">
      <c r="A130" s="368" t="s">
        <v>945</v>
      </c>
      <c r="B130" s="675"/>
      <c r="C130" s="1714"/>
      <c r="D130" s="1715"/>
      <c r="E130" s="1715"/>
      <c r="F130" s="1715"/>
      <c r="G130" s="1715"/>
      <c r="H130" s="1716"/>
      <c r="I130" s="1361"/>
      <c r="J130" s="299"/>
      <c r="K130" s="299"/>
      <c r="L130" s="299"/>
      <c r="M130" s="299"/>
      <c r="N130" s="299"/>
      <c r="O130" s="299"/>
      <c r="W130" s="299"/>
      <c r="X130" s="299"/>
      <c r="Y130" s="299"/>
      <c r="Z130" s="299"/>
      <c r="AA130" s="299"/>
      <c r="AB130" s="299"/>
      <c r="AC130" s="299"/>
      <c r="AD130" s="299"/>
      <c r="AE130" s="299"/>
      <c r="AF130" s="299"/>
      <c r="AG130" s="299"/>
      <c r="AH130" s="299"/>
      <c r="AI130" s="299"/>
      <c r="AJ130" s="299"/>
      <c r="AK130" s="299"/>
      <c r="AL130" s="299"/>
      <c r="AM130" s="299"/>
      <c r="AN130" s="299"/>
      <c r="AO130" s="299"/>
      <c r="AP130" s="299"/>
      <c r="AQ130" s="299"/>
      <c r="AR130" s="299"/>
      <c r="AS130" s="299"/>
      <c r="AT130" s="299"/>
      <c r="AU130" s="299"/>
      <c r="AV130" s="299"/>
      <c r="AW130" s="299"/>
      <c r="AX130" s="299"/>
      <c r="AY130" s="299"/>
      <c r="AZ130" s="299"/>
      <c r="BA130" s="299"/>
      <c r="BB130" s="299"/>
      <c r="BC130" s="299"/>
      <c r="BD130" s="299"/>
      <c r="BE130" s="299"/>
      <c r="BF130" s="299"/>
      <c r="BG130" s="299"/>
      <c r="BH130" s="299"/>
      <c r="BI130" s="299"/>
      <c r="BJ130" s="299"/>
      <c r="BK130" s="299"/>
      <c r="BL130" s="299"/>
      <c r="BM130" s="299"/>
      <c r="BN130" s="299"/>
      <c r="BO130" s="299"/>
      <c r="BP130" s="299"/>
      <c r="BQ130" s="299"/>
      <c r="BR130" s="299"/>
      <c r="BS130" s="299"/>
      <c r="BT130" s="299"/>
      <c r="BU130" s="299"/>
      <c r="BV130" s="299"/>
      <c r="BW130" s="299"/>
      <c r="BX130" s="299"/>
      <c r="BY130" s="299"/>
      <c r="BZ130" s="299"/>
      <c r="CA130" s="299"/>
      <c r="CB130" s="299"/>
      <c r="CC130" s="299"/>
      <c r="CD130" s="299"/>
      <c r="CE130" s="299"/>
      <c r="CF130" s="299"/>
      <c r="CG130" s="299"/>
      <c r="CH130" s="299"/>
      <c r="CI130" s="299"/>
      <c r="CJ130" s="299"/>
      <c r="CK130" s="299"/>
      <c r="CL130" s="299"/>
      <c r="CM130" s="299"/>
      <c r="CN130" s="299"/>
      <c r="CO130" s="299"/>
      <c r="CP130" s="299"/>
      <c r="CQ130" s="299"/>
      <c r="CR130" s="299"/>
      <c r="CS130" s="299"/>
      <c r="CT130" s="299"/>
      <c r="CU130" s="299"/>
      <c r="CV130" s="299"/>
      <c r="CW130" s="299"/>
      <c r="CX130" s="299"/>
      <c r="CY130" s="299"/>
      <c r="CZ130" s="299"/>
      <c r="DA130" s="299"/>
      <c r="DB130" s="299"/>
      <c r="DC130" s="299"/>
      <c r="DD130" s="299"/>
      <c r="DE130" s="299"/>
      <c r="DF130" s="299"/>
      <c r="DG130" s="299"/>
      <c r="DH130" s="299"/>
      <c r="DI130" s="299"/>
      <c r="DJ130" s="299"/>
      <c r="DK130" s="299"/>
      <c r="DL130" s="299"/>
      <c r="DM130" s="299"/>
      <c r="DN130" s="299"/>
      <c r="DO130" s="299"/>
      <c r="DP130" s="299"/>
      <c r="DQ130" s="299"/>
      <c r="DR130" s="299"/>
      <c r="DS130" s="299"/>
      <c r="DT130" s="299"/>
      <c r="DU130" s="299"/>
      <c r="DV130" s="299"/>
      <c r="DW130" s="299"/>
      <c r="DX130" s="299"/>
      <c r="DY130" s="299"/>
      <c r="DZ130" s="299"/>
      <c r="EA130" s="299"/>
      <c r="EB130" s="299"/>
      <c r="EC130" s="299"/>
      <c r="ED130" s="299"/>
      <c r="EE130" s="299"/>
      <c r="EF130" s="299"/>
      <c r="EG130" s="299"/>
      <c r="EH130" s="299"/>
      <c r="EI130" s="299"/>
      <c r="EJ130" s="299"/>
      <c r="EK130" s="299"/>
      <c r="EL130" s="299"/>
      <c r="EM130" s="299"/>
      <c r="EN130" s="299"/>
      <c r="EO130" s="299"/>
      <c r="EP130" s="299"/>
      <c r="EQ130" s="299"/>
      <c r="ER130" s="299"/>
      <c r="ES130" s="299"/>
      <c r="ET130" s="299"/>
      <c r="EU130" s="299"/>
      <c r="EV130" s="299"/>
      <c r="EW130" s="299"/>
      <c r="EX130" s="299"/>
      <c r="EY130" s="299"/>
      <c r="EZ130" s="299"/>
      <c r="FA130" s="299"/>
      <c r="FB130" s="299"/>
      <c r="FC130" s="299"/>
      <c r="FD130" s="299"/>
      <c r="FE130" s="299"/>
      <c r="FF130" s="299"/>
      <c r="FG130" s="299"/>
      <c r="FH130" s="299"/>
      <c r="FI130" s="299"/>
      <c r="FJ130" s="299"/>
      <c r="FK130" s="299"/>
      <c r="FL130" s="299"/>
      <c r="FM130" s="299"/>
      <c r="FN130" s="299"/>
      <c r="FO130" s="299"/>
      <c r="FP130" s="299"/>
      <c r="FQ130" s="299"/>
      <c r="FR130" s="299"/>
      <c r="FS130" s="299"/>
      <c r="FT130" s="299"/>
      <c r="FU130" s="299"/>
      <c r="FV130" s="299"/>
      <c r="FW130" s="299"/>
      <c r="FX130" s="299"/>
      <c r="FY130" s="299"/>
      <c r="FZ130" s="299"/>
      <c r="GA130" s="299"/>
      <c r="GB130" s="299"/>
      <c r="GC130" s="299"/>
      <c r="GD130" s="299"/>
      <c r="GE130" s="299"/>
      <c r="GF130" s="299"/>
      <c r="GG130" s="299"/>
      <c r="GH130" s="299"/>
      <c r="GI130" s="299"/>
      <c r="GJ130" s="299"/>
      <c r="GK130" s="299"/>
      <c r="GL130" s="299"/>
      <c r="GM130" s="299"/>
      <c r="GN130" s="299"/>
      <c r="GO130" s="299"/>
      <c r="GP130" s="299"/>
      <c r="GQ130" s="299"/>
      <c r="GR130" s="299"/>
      <c r="GS130" s="299"/>
      <c r="GT130" s="299"/>
      <c r="GU130" s="299"/>
      <c r="GV130" s="299"/>
      <c r="GW130" s="299"/>
      <c r="GX130" s="299"/>
      <c r="GY130" s="299"/>
    </row>
    <row r="131" spans="1:207">
      <c r="A131" s="652" t="s">
        <v>169</v>
      </c>
      <c r="B131" s="709" t="s">
        <v>946</v>
      </c>
      <c r="C131" s="1714"/>
      <c r="D131" s="1715"/>
      <c r="E131" s="1715"/>
      <c r="F131" s="1715"/>
      <c r="G131" s="1715"/>
      <c r="H131" s="1716"/>
      <c r="I131" s="1369">
        <f>SUM(I132:I135)</f>
        <v>8050</v>
      </c>
      <c r="J131" s="299"/>
      <c r="K131" s="299"/>
      <c r="L131" s="299"/>
      <c r="M131" s="299"/>
      <c r="N131" s="299"/>
      <c r="O131" s="299"/>
      <c r="W131" s="299"/>
      <c r="X131" s="299"/>
      <c r="Y131" s="299"/>
      <c r="Z131" s="299"/>
      <c r="AA131" s="299"/>
      <c r="AB131" s="299"/>
      <c r="AC131" s="299"/>
      <c r="AD131" s="299"/>
      <c r="AE131" s="299"/>
      <c r="AF131" s="299"/>
      <c r="AG131" s="299"/>
      <c r="AH131" s="299"/>
      <c r="AI131" s="299"/>
      <c r="AJ131" s="299"/>
      <c r="AK131" s="299"/>
      <c r="AL131" s="299"/>
      <c r="AM131" s="299"/>
      <c r="AN131" s="299"/>
      <c r="AO131" s="299"/>
      <c r="AP131" s="299"/>
      <c r="AQ131" s="299"/>
      <c r="AR131" s="299"/>
      <c r="AS131" s="299"/>
      <c r="AT131" s="299"/>
      <c r="AU131" s="299"/>
      <c r="AV131" s="299"/>
      <c r="AW131" s="299"/>
      <c r="AX131" s="299"/>
      <c r="AY131" s="299"/>
      <c r="AZ131" s="299"/>
      <c r="BA131" s="299"/>
      <c r="BB131" s="299"/>
      <c r="BC131" s="299"/>
      <c r="BD131" s="299"/>
      <c r="BE131" s="299"/>
      <c r="BF131" s="299"/>
      <c r="BG131" s="299"/>
      <c r="BH131" s="299"/>
      <c r="BI131" s="299"/>
      <c r="BJ131" s="299"/>
      <c r="BK131" s="299"/>
      <c r="BL131" s="299"/>
      <c r="BM131" s="299"/>
      <c r="BN131" s="299"/>
      <c r="BO131" s="299"/>
      <c r="BP131" s="299"/>
      <c r="BQ131" s="299"/>
      <c r="BR131" s="299"/>
      <c r="BS131" s="299"/>
      <c r="BT131" s="299"/>
      <c r="BU131" s="299"/>
      <c r="BV131" s="299"/>
      <c r="BW131" s="299"/>
      <c r="BX131" s="299"/>
      <c r="BY131" s="299"/>
      <c r="BZ131" s="299"/>
      <c r="CA131" s="299"/>
      <c r="CB131" s="299"/>
      <c r="CC131" s="299"/>
      <c r="CD131" s="299"/>
      <c r="CE131" s="299"/>
      <c r="CF131" s="299"/>
      <c r="CG131" s="299"/>
      <c r="CH131" s="299"/>
      <c r="CI131" s="299"/>
      <c r="CJ131" s="299"/>
      <c r="CK131" s="299"/>
      <c r="CL131" s="299"/>
      <c r="CM131" s="299"/>
      <c r="CN131" s="299"/>
      <c r="CO131" s="299"/>
      <c r="CP131" s="299"/>
      <c r="CQ131" s="299"/>
      <c r="CR131" s="299"/>
      <c r="CS131" s="299"/>
      <c r="CT131" s="299"/>
      <c r="CU131" s="299"/>
      <c r="CV131" s="299"/>
      <c r="CW131" s="299"/>
      <c r="CX131" s="299"/>
      <c r="CY131" s="299"/>
      <c r="CZ131" s="299"/>
      <c r="DA131" s="299"/>
      <c r="DB131" s="299"/>
      <c r="DC131" s="299"/>
      <c r="DD131" s="299"/>
      <c r="DE131" s="299"/>
      <c r="DF131" s="299"/>
      <c r="DG131" s="299"/>
      <c r="DH131" s="299"/>
      <c r="DI131" s="299"/>
      <c r="DJ131" s="299"/>
      <c r="DK131" s="299"/>
      <c r="DL131" s="299"/>
      <c r="DM131" s="299"/>
      <c r="DN131" s="299"/>
      <c r="DO131" s="299"/>
      <c r="DP131" s="299"/>
      <c r="DQ131" s="299"/>
      <c r="DR131" s="299"/>
      <c r="DS131" s="299"/>
      <c r="DT131" s="299"/>
      <c r="DU131" s="299"/>
      <c r="DV131" s="299"/>
      <c r="DW131" s="299"/>
      <c r="DX131" s="299"/>
      <c r="DY131" s="299"/>
      <c r="DZ131" s="299"/>
      <c r="EA131" s="299"/>
      <c r="EB131" s="299"/>
      <c r="EC131" s="299"/>
      <c r="ED131" s="299"/>
      <c r="EE131" s="299"/>
      <c r="EF131" s="299"/>
      <c r="EG131" s="299"/>
      <c r="EH131" s="299"/>
      <c r="EI131" s="299"/>
      <c r="EJ131" s="299"/>
      <c r="EK131" s="299"/>
      <c r="EL131" s="299"/>
      <c r="EM131" s="299"/>
      <c r="EN131" s="299"/>
      <c r="EO131" s="299"/>
      <c r="EP131" s="299"/>
      <c r="EQ131" s="299"/>
      <c r="ER131" s="299"/>
      <c r="ES131" s="299"/>
      <c r="ET131" s="299"/>
      <c r="EU131" s="299"/>
      <c r="EV131" s="299"/>
      <c r="EW131" s="299"/>
      <c r="EX131" s="299"/>
      <c r="EY131" s="299"/>
      <c r="EZ131" s="299"/>
      <c r="FA131" s="299"/>
      <c r="FB131" s="299"/>
      <c r="FC131" s="299"/>
      <c r="FD131" s="299"/>
      <c r="FE131" s="299"/>
      <c r="FF131" s="299"/>
      <c r="FG131" s="299"/>
      <c r="FH131" s="299"/>
      <c r="FI131" s="299"/>
      <c r="FJ131" s="299"/>
      <c r="FK131" s="299"/>
      <c r="FL131" s="299"/>
      <c r="FM131" s="299"/>
      <c r="FN131" s="299"/>
      <c r="FO131" s="299"/>
      <c r="FP131" s="299"/>
      <c r="FQ131" s="299"/>
      <c r="FR131" s="299"/>
      <c r="FS131" s="299"/>
      <c r="FT131" s="299"/>
      <c r="FU131" s="299"/>
      <c r="FV131" s="299"/>
      <c r="FW131" s="299"/>
      <c r="FX131" s="299"/>
      <c r="FY131" s="299"/>
      <c r="FZ131" s="299"/>
      <c r="GA131" s="299"/>
      <c r="GB131" s="299"/>
      <c r="GC131" s="299"/>
      <c r="GD131" s="299"/>
      <c r="GE131" s="299"/>
      <c r="GF131" s="299"/>
      <c r="GG131" s="299"/>
      <c r="GH131" s="299"/>
      <c r="GI131" s="299"/>
      <c r="GJ131" s="299"/>
      <c r="GK131" s="299"/>
      <c r="GL131" s="299"/>
      <c r="GM131" s="299"/>
      <c r="GN131" s="299"/>
      <c r="GO131" s="299"/>
      <c r="GP131" s="299"/>
      <c r="GQ131" s="299"/>
      <c r="GR131" s="299"/>
      <c r="GS131" s="299"/>
      <c r="GT131" s="299"/>
      <c r="GU131" s="299"/>
      <c r="GV131" s="299"/>
      <c r="GW131" s="299"/>
      <c r="GX131" s="299"/>
      <c r="GY131" s="299"/>
    </row>
    <row r="132" spans="1:207">
      <c r="A132" s="368" t="s">
        <v>210</v>
      </c>
      <c r="B132" s="701" t="s">
        <v>1321</v>
      </c>
      <c r="C132" s="1714"/>
      <c r="D132" s="1715"/>
      <c r="E132" s="1715"/>
      <c r="F132" s="1715"/>
      <c r="G132" s="1715"/>
      <c r="H132" s="1716"/>
      <c r="I132" s="1361">
        <v>8050</v>
      </c>
      <c r="J132" s="299"/>
      <c r="K132" s="299"/>
      <c r="L132" s="299"/>
      <c r="M132" s="299"/>
      <c r="N132" s="299"/>
      <c r="O132" s="299"/>
      <c r="W132" s="299"/>
      <c r="X132" s="299"/>
      <c r="Y132" s="299"/>
      <c r="Z132" s="299"/>
      <c r="AA132" s="299"/>
      <c r="AB132" s="299"/>
      <c r="AC132" s="299"/>
      <c r="AD132" s="299"/>
      <c r="AE132" s="299"/>
      <c r="AF132" s="299"/>
      <c r="AG132" s="299"/>
      <c r="AH132" s="299"/>
      <c r="AI132" s="299"/>
      <c r="AJ132" s="299"/>
      <c r="AK132" s="299"/>
      <c r="AL132" s="299"/>
      <c r="AM132" s="299"/>
      <c r="AN132" s="299"/>
      <c r="AO132" s="299"/>
      <c r="AP132" s="299"/>
      <c r="AQ132" s="299"/>
      <c r="AR132" s="299"/>
      <c r="AS132" s="299"/>
      <c r="AT132" s="299"/>
      <c r="AU132" s="299"/>
      <c r="AV132" s="299"/>
      <c r="AW132" s="299"/>
      <c r="AX132" s="299"/>
      <c r="AY132" s="299"/>
      <c r="AZ132" s="299"/>
      <c r="BA132" s="299"/>
      <c r="BB132" s="299"/>
      <c r="BC132" s="299"/>
      <c r="BD132" s="299"/>
      <c r="BE132" s="299"/>
      <c r="BF132" s="299"/>
      <c r="BG132" s="299"/>
      <c r="BH132" s="299"/>
      <c r="BI132" s="299"/>
      <c r="BJ132" s="299"/>
      <c r="BK132" s="299"/>
      <c r="BL132" s="299"/>
      <c r="BM132" s="299"/>
      <c r="BN132" s="299"/>
      <c r="BO132" s="299"/>
      <c r="BP132" s="299"/>
      <c r="BQ132" s="299"/>
      <c r="BR132" s="299"/>
      <c r="BS132" s="299"/>
      <c r="BT132" s="299"/>
      <c r="BU132" s="299"/>
      <c r="BV132" s="299"/>
      <c r="BW132" s="299"/>
      <c r="BX132" s="299"/>
      <c r="BY132" s="299"/>
      <c r="BZ132" s="299"/>
      <c r="CA132" s="299"/>
      <c r="CB132" s="299"/>
      <c r="CC132" s="299"/>
      <c r="CD132" s="299"/>
      <c r="CE132" s="299"/>
      <c r="CF132" s="299"/>
      <c r="CG132" s="299"/>
      <c r="CH132" s="299"/>
      <c r="CI132" s="299"/>
      <c r="CJ132" s="299"/>
      <c r="CK132" s="299"/>
      <c r="CL132" s="299"/>
      <c r="CM132" s="299"/>
      <c r="CN132" s="299"/>
      <c r="CO132" s="299"/>
      <c r="CP132" s="299"/>
      <c r="CQ132" s="299"/>
      <c r="CR132" s="299"/>
      <c r="CS132" s="299"/>
      <c r="CT132" s="299"/>
      <c r="CU132" s="299"/>
      <c r="CV132" s="299"/>
      <c r="CW132" s="299"/>
      <c r="CX132" s="299"/>
      <c r="CY132" s="299"/>
      <c r="CZ132" s="299"/>
      <c r="DA132" s="299"/>
      <c r="DB132" s="299"/>
      <c r="DC132" s="299"/>
      <c r="DD132" s="299"/>
      <c r="DE132" s="299"/>
      <c r="DF132" s="299"/>
      <c r="DG132" s="299"/>
      <c r="DH132" s="299"/>
      <c r="DI132" s="299"/>
      <c r="DJ132" s="299"/>
      <c r="DK132" s="299"/>
      <c r="DL132" s="299"/>
      <c r="DM132" s="299"/>
      <c r="DN132" s="299"/>
      <c r="DO132" s="299"/>
      <c r="DP132" s="299"/>
      <c r="DQ132" s="299"/>
      <c r="DR132" s="299"/>
      <c r="DS132" s="299"/>
      <c r="DT132" s="299"/>
      <c r="DU132" s="299"/>
      <c r="DV132" s="299"/>
      <c r="DW132" s="299"/>
      <c r="DX132" s="299"/>
      <c r="DY132" s="299"/>
      <c r="DZ132" s="299"/>
      <c r="EA132" s="299"/>
      <c r="EB132" s="299"/>
      <c r="EC132" s="299"/>
      <c r="ED132" s="299"/>
      <c r="EE132" s="299"/>
      <c r="EF132" s="299"/>
      <c r="EG132" s="299"/>
      <c r="EH132" s="299"/>
      <c r="EI132" s="299"/>
      <c r="EJ132" s="299"/>
      <c r="EK132" s="299"/>
      <c r="EL132" s="299"/>
      <c r="EM132" s="299"/>
      <c r="EN132" s="299"/>
      <c r="EO132" s="299"/>
      <c r="EP132" s="299"/>
      <c r="EQ132" s="299"/>
      <c r="ER132" s="299"/>
      <c r="ES132" s="299"/>
      <c r="ET132" s="299"/>
      <c r="EU132" s="299"/>
      <c r="EV132" s="299"/>
      <c r="EW132" s="299"/>
      <c r="EX132" s="299"/>
      <c r="EY132" s="299"/>
      <c r="EZ132" s="299"/>
      <c r="FA132" s="299"/>
      <c r="FB132" s="299"/>
      <c r="FC132" s="299"/>
      <c r="FD132" s="299"/>
      <c r="FE132" s="299"/>
      <c r="FF132" s="299"/>
      <c r="FG132" s="299"/>
      <c r="FH132" s="299"/>
      <c r="FI132" s="299"/>
      <c r="FJ132" s="299"/>
      <c r="FK132" s="299"/>
      <c r="FL132" s="299"/>
      <c r="FM132" s="299"/>
      <c r="FN132" s="299"/>
      <c r="FO132" s="299"/>
      <c r="FP132" s="299"/>
      <c r="FQ132" s="299"/>
      <c r="FR132" s="299"/>
      <c r="FS132" s="299"/>
      <c r="FT132" s="299"/>
      <c r="FU132" s="299"/>
      <c r="FV132" s="299"/>
      <c r="FW132" s="299"/>
      <c r="FX132" s="299"/>
      <c r="FY132" s="299"/>
      <c r="FZ132" s="299"/>
      <c r="GA132" s="299"/>
      <c r="GB132" s="299"/>
      <c r="GC132" s="299"/>
      <c r="GD132" s="299"/>
      <c r="GE132" s="299"/>
      <c r="GF132" s="299"/>
      <c r="GG132" s="299"/>
      <c r="GH132" s="299"/>
      <c r="GI132" s="299"/>
      <c r="GJ132" s="299"/>
      <c r="GK132" s="299"/>
      <c r="GL132" s="299"/>
      <c r="GM132" s="299"/>
      <c r="GN132" s="299"/>
      <c r="GO132" s="299"/>
      <c r="GP132" s="299"/>
      <c r="GQ132" s="299"/>
      <c r="GR132" s="299"/>
      <c r="GS132" s="299"/>
      <c r="GT132" s="299"/>
      <c r="GU132" s="299"/>
      <c r="GV132" s="299"/>
      <c r="GW132" s="299"/>
      <c r="GX132" s="299"/>
      <c r="GY132" s="299"/>
    </row>
    <row r="133" spans="1:207" s="298" customFormat="1">
      <c r="A133" s="368" t="s">
        <v>211</v>
      </c>
      <c r="B133" s="701"/>
      <c r="C133" s="1714"/>
      <c r="D133" s="1715"/>
      <c r="E133" s="1715"/>
      <c r="F133" s="1715"/>
      <c r="G133" s="1715"/>
      <c r="H133" s="1716"/>
      <c r="I133" s="1361"/>
      <c r="J133" s="297"/>
      <c r="K133" s="297"/>
      <c r="L133" s="297"/>
      <c r="M133" s="297"/>
      <c r="N133" s="297"/>
      <c r="O133" s="297"/>
      <c r="P133" s="1436"/>
      <c r="Q133" s="1436"/>
      <c r="R133" s="1436"/>
      <c r="S133" s="1436"/>
      <c r="T133" s="1436"/>
      <c r="U133" s="1436"/>
      <c r="V133" s="1436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  <c r="CD133" s="297"/>
      <c r="CE133" s="297"/>
      <c r="CF133" s="297"/>
      <c r="CG133" s="297"/>
      <c r="CH133" s="297"/>
      <c r="CI133" s="297"/>
      <c r="CJ133" s="297"/>
      <c r="CK133" s="297"/>
      <c r="CL133" s="297"/>
      <c r="CM133" s="297"/>
      <c r="CN133" s="297"/>
      <c r="CO133" s="297"/>
      <c r="CP133" s="297"/>
      <c r="CQ133" s="297"/>
      <c r="CR133" s="297"/>
      <c r="CS133" s="297"/>
      <c r="CT133" s="297"/>
      <c r="CU133" s="297"/>
      <c r="CV133" s="297"/>
      <c r="CW133" s="297"/>
      <c r="CX133" s="297"/>
      <c r="CY133" s="297"/>
      <c r="CZ133" s="297"/>
      <c r="DA133" s="297"/>
      <c r="DB133" s="297"/>
      <c r="DC133" s="297"/>
      <c r="DD133" s="297"/>
      <c r="DE133" s="297"/>
      <c r="DF133" s="297"/>
      <c r="DG133" s="297"/>
      <c r="DH133" s="297"/>
      <c r="DI133" s="297"/>
      <c r="DJ133" s="297"/>
      <c r="DK133" s="297"/>
      <c r="DL133" s="297"/>
      <c r="DM133" s="297"/>
      <c r="DN133" s="297"/>
      <c r="DO133" s="297"/>
      <c r="DP133" s="297"/>
      <c r="DQ133" s="297"/>
      <c r="DR133" s="297"/>
      <c r="DS133" s="297"/>
      <c r="DT133" s="297"/>
      <c r="DU133" s="297"/>
      <c r="DV133" s="297"/>
      <c r="DW133" s="297"/>
      <c r="DX133" s="297"/>
      <c r="DY133" s="297"/>
      <c r="DZ133" s="297"/>
      <c r="EA133" s="297"/>
      <c r="EB133" s="297"/>
      <c r="EC133" s="297"/>
      <c r="ED133" s="297"/>
      <c r="EE133" s="297"/>
      <c r="EF133" s="297"/>
      <c r="EG133" s="297"/>
      <c r="EH133" s="297"/>
      <c r="EI133" s="297"/>
      <c r="EJ133" s="297"/>
      <c r="EK133" s="297"/>
      <c r="EL133" s="297"/>
      <c r="EM133" s="297"/>
      <c r="EN133" s="297"/>
      <c r="EO133" s="297"/>
      <c r="EP133" s="297"/>
      <c r="EQ133" s="297"/>
      <c r="ER133" s="297"/>
      <c r="ES133" s="297"/>
      <c r="ET133" s="297"/>
      <c r="EU133" s="297"/>
      <c r="EV133" s="297"/>
      <c r="EW133" s="297"/>
      <c r="EX133" s="297"/>
      <c r="EY133" s="297"/>
      <c r="EZ133" s="297"/>
      <c r="FA133" s="297"/>
      <c r="FB133" s="297"/>
      <c r="FC133" s="297"/>
      <c r="FD133" s="297"/>
      <c r="FE133" s="297"/>
      <c r="FF133" s="297"/>
      <c r="FG133" s="297"/>
      <c r="FH133" s="297"/>
      <c r="FI133" s="297"/>
      <c r="FJ133" s="297"/>
      <c r="FK133" s="297"/>
      <c r="FL133" s="297"/>
      <c r="FM133" s="297"/>
      <c r="FN133" s="297"/>
      <c r="FO133" s="297"/>
      <c r="FP133" s="297"/>
      <c r="FQ133" s="297"/>
      <c r="FR133" s="297"/>
      <c r="FS133" s="297"/>
      <c r="FT133" s="297"/>
      <c r="FU133" s="297"/>
      <c r="FV133" s="297"/>
      <c r="FW133" s="297"/>
      <c r="FX133" s="297"/>
      <c r="FY133" s="297"/>
      <c r="FZ133" s="297"/>
      <c r="GA133" s="297"/>
      <c r="GB133" s="297"/>
      <c r="GC133" s="297"/>
      <c r="GD133" s="297"/>
      <c r="GE133" s="297"/>
      <c r="GF133" s="297"/>
      <c r="GG133" s="297"/>
      <c r="GH133" s="297"/>
      <c r="GI133" s="297"/>
      <c r="GJ133" s="297"/>
      <c r="GK133" s="297"/>
      <c r="GL133" s="297"/>
      <c r="GM133" s="297"/>
      <c r="GN133" s="297"/>
      <c r="GO133" s="297"/>
      <c r="GP133" s="297"/>
      <c r="GQ133" s="297"/>
      <c r="GR133" s="297"/>
      <c r="GS133" s="297"/>
      <c r="GT133" s="297"/>
      <c r="GU133" s="297"/>
      <c r="GV133" s="297"/>
      <c r="GW133" s="297"/>
      <c r="GX133" s="297"/>
      <c r="GY133" s="297"/>
    </row>
    <row r="134" spans="1:207">
      <c r="A134" s="368" t="s">
        <v>214</v>
      </c>
      <c r="B134" s="701"/>
      <c r="C134" s="1714"/>
      <c r="D134" s="1715"/>
      <c r="E134" s="1715"/>
      <c r="F134" s="1715"/>
      <c r="G134" s="1715"/>
      <c r="H134" s="1716"/>
      <c r="I134" s="1361"/>
      <c r="J134" s="299"/>
      <c r="K134" s="299"/>
      <c r="L134" s="299"/>
      <c r="M134" s="299"/>
      <c r="N134" s="299"/>
      <c r="O134" s="299"/>
      <c r="W134" s="299"/>
      <c r="X134" s="299"/>
      <c r="Y134" s="299"/>
      <c r="Z134" s="299"/>
      <c r="AA134" s="299"/>
      <c r="AB134" s="299"/>
      <c r="AC134" s="299"/>
      <c r="AD134" s="299"/>
      <c r="AE134" s="299"/>
      <c r="AF134" s="299"/>
      <c r="AG134" s="299"/>
      <c r="AH134" s="299"/>
      <c r="AI134" s="299"/>
      <c r="AJ134" s="299"/>
      <c r="AK134" s="299"/>
      <c r="AL134" s="299"/>
      <c r="AM134" s="299"/>
      <c r="AN134" s="299"/>
      <c r="AO134" s="299"/>
      <c r="AP134" s="299"/>
      <c r="AQ134" s="299"/>
      <c r="AR134" s="299"/>
      <c r="AS134" s="299"/>
      <c r="AT134" s="299"/>
      <c r="AU134" s="299"/>
      <c r="AV134" s="299"/>
      <c r="AW134" s="299"/>
      <c r="AX134" s="299"/>
      <c r="AY134" s="299"/>
      <c r="AZ134" s="299"/>
      <c r="BA134" s="299"/>
      <c r="BB134" s="299"/>
      <c r="BC134" s="299"/>
      <c r="BD134" s="299"/>
      <c r="BE134" s="299"/>
      <c r="BF134" s="299"/>
      <c r="BG134" s="299"/>
      <c r="BH134" s="299"/>
      <c r="BI134" s="299"/>
      <c r="BJ134" s="299"/>
      <c r="BK134" s="299"/>
      <c r="BL134" s="299"/>
      <c r="BM134" s="299"/>
      <c r="BN134" s="299"/>
      <c r="BO134" s="299"/>
      <c r="BP134" s="299"/>
      <c r="BQ134" s="299"/>
      <c r="BR134" s="299"/>
      <c r="BS134" s="299"/>
      <c r="BT134" s="299"/>
      <c r="BU134" s="299"/>
      <c r="BV134" s="299"/>
      <c r="BW134" s="299"/>
      <c r="BX134" s="299"/>
      <c r="BY134" s="299"/>
      <c r="BZ134" s="299"/>
      <c r="CA134" s="299"/>
      <c r="CB134" s="299"/>
      <c r="CC134" s="299"/>
      <c r="CD134" s="299"/>
      <c r="CE134" s="299"/>
      <c r="CF134" s="299"/>
      <c r="CG134" s="299"/>
      <c r="CH134" s="299"/>
      <c r="CI134" s="299"/>
      <c r="CJ134" s="299"/>
      <c r="CK134" s="299"/>
      <c r="CL134" s="299"/>
      <c r="CM134" s="299"/>
      <c r="CN134" s="299"/>
      <c r="CO134" s="299"/>
      <c r="CP134" s="299"/>
      <c r="CQ134" s="299"/>
      <c r="CR134" s="299"/>
      <c r="CS134" s="299"/>
      <c r="CT134" s="299"/>
      <c r="CU134" s="299"/>
      <c r="CV134" s="299"/>
      <c r="CW134" s="299"/>
      <c r="CX134" s="299"/>
      <c r="CY134" s="299"/>
      <c r="CZ134" s="299"/>
      <c r="DA134" s="299"/>
      <c r="DB134" s="299"/>
      <c r="DC134" s="299"/>
      <c r="DD134" s="299"/>
      <c r="DE134" s="299"/>
      <c r="DF134" s="299"/>
      <c r="DG134" s="299"/>
      <c r="DH134" s="299"/>
      <c r="DI134" s="299"/>
      <c r="DJ134" s="299"/>
      <c r="DK134" s="299"/>
      <c r="DL134" s="299"/>
      <c r="DM134" s="299"/>
      <c r="DN134" s="299"/>
      <c r="DO134" s="299"/>
      <c r="DP134" s="299"/>
      <c r="DQ134" s="299"/>
      <c r="DR134" s="299"/>
      <c r="DS134" s="299"/>
      <c r="DT134" s="299"/>
      <c r="DU134" s="299"/>
      <c r="DV134" s="299"/>
      <c r="DW134" s="299"/>
      <c r="DX134" s="299"/>
      <c r="DY134" s="299"/>
      <c r="DZ134" s="299"/>
      <c r="EA134" s="299"/>
      <c r="EB134" s="299"/>
      <c r="EC134" s="299"/>
      <c r="ED134" s="299"/>
      <c r="EE134" s="299"/>
      <c r="EF134" s="299"/>
      <c r="EG134" s="299"/>
      <c r="EH134" s="299"/>
      <c r="EI134" s="299"/>
      <c r="EJ134" s="299"/>
      <c r="EK134" s="299"/>
      <c r="EL134" s="299"/>
      <c r="EM134" s="299"/>
      <c r="EN134" s="299"/>
      <c r="EO134" s="299"/>
      <c r="EP134" s="299"/>
      <c r="EQ134" s="299"/>
      <c r="ER134" s="299"/>
      <c r="ES134" s="299"/>
      <c r="ET134" s="299"/>
      <c r="EU134" s="299"/>
      <c r="EV134" s="299"/>
      <c r="EW134" s="299"/>
      <c r="EX134" s="299"/>
      <c r="EY134" s="299"/>
      <c r="EZ134" s="299"/>
      <c r="FA134" s="299"/>
      <c r="FB134" s="299"/>
      <c r="FC134" s="299"/>
      <c r="FD134" s="299"/>
      <c r="FE134" s="299"/>
      <c r="FF134" s="299"/>
      <c r="FG134" s="299"/>
      <c r="FH134" s="299"/>
      <c r="FI134" s="299"/>
      <c r="FJ134" s="299"/>
      <c r="FK134" s="299"/>
      <c r="FL134" s="299"/>
      <c r="FM134" s="299"/>
      <c r="FN134" s="299"/>
      <c r="FO134" s="299"/>
      <c r="FP134" s="299"/>
      <c r="FQ134" s="299"/>
      <c r="FR134" s="299"/>
      <c r="FS134" s="299"/>
      <c r="FT134" s="299"/>
      <c r="FU134" s="299"/>
      <c r="FV134" s="299"/>
      <c r="FW134" s="299"/>
      <c r="FX134" s="299"/>
      <c r="FY134" s="299"/>
      <c r="FZ134" s="299"/>
      <c r="GA134" s="299"/>
      <c r="GB134" s="299"/>
      <c r="GC134" s="299"/>
      <c r="GD134" s="299"/>
      <c r="GE134" s="299"/>
      <c r="GF134" s="299"/>
      <c r="GG134" s="299"/>
      <c r="GH134" s="299"/>
      <c r="GI134" s="299"/>
      <c r="GJ134" s="299"/>
      <c r="GK134" s="299"/>
      <c r="GL134" s="299"/>
      <c r="GM134" s="299"/>
      <c r="GN134" s="299"/>
      <c r="GO134" s="299"/>
      <c r="GP134" s="299"/>
      <c r="GQ134" s="299"/>
      <c r="GR134" s="299"/>
      <c r="GS134" s="299"/>
      <c r="GT134" s="299"/>
      <c r="GU134" s="299"/>
      <c r="GV134" s="299"/>
      <c r="GW134" s="299"/>
      <c r="GX134" s="299"/>
      <c r="GY134" s="299"/>
    </row>
    <row r="135" spans="1:207" ht="13.8" thickBot="1">
      <c r="A135" s="653" t="s">
        <v>639</v>
      </c>
      <c r="B135" s="710"/>
      <c r="C135" s="1717"/>
      <c r="D135" s="1718"/>
      <c r="E135" s="1718"/>
      <c r="F135" s="1718"/>
      <c r="G135" s="1718"/>
      <c r="H135" s="1719"/>
      <c r="I135" s="1370"/>
      <c r="J135" s="299"/>
      <c r="K135" s="299"/>
      <c r="L135" s="299"/>
      <c r="M135" s="299"/>
      <c r="N135" s="299"/>
      <c r="O135" s="299"/>
      <c r="W135" s="299"/>
      <c r="X135" s="299"/>
      <c r="Y135" s="299"/>
      <c r="Z135" s="299"/>
      <c r="AA135" s="299"/>
      <c r="AB135" s="299"/>
      <c r="AC135" s="299"/>
      <c r="AD135" s="299"/>
      <c r="AE135" s="299"/>
      <c r="AF135" s="299"/>
      <c r="AG135" s="299"/>
      <c r="AH135" s="299"/>
      <c r="AI135" s="299"/>
      <c r="AJ135" s="299"/>
      <c r="AK135" s="299"/>
      <c r="AL135" s="299"/>
      <c r="AM135" s="299"/>
      <c r="AN135" s="299"/>
      <c r="AO135" s="299"/>
      <c r="AP135" s="299"/>
      <c r="AQ135" s="299"/>
      <c r="AR135" s="299"/>
      <c r="AS135" s="299"/>
      <c r="AT135" s="299"/>
      <c r="AU135" s="299"/>
      <c r="AV135" s="299"/>
      <c r="AW135" s="299"/>
      <c r="AX135" s="299"/>
      <c r="AY135" s="299"/>
      <c r="AZ135" s="299"/>
      <c r="BA135" s="299"/>
      <c r="BB135" s="299"/>
      <c r="BC135" s="299"/>
      <c r="BD135" s="299"/>
      <c r="BE135" s="299"/>
      <c r="BF135" s="299"/>
      <c r="BG135" s="299"/>
      <c r="BH135" s="299"/>
      <c r="BI135" s="299"/>
      <c r="BJ135" s="299"/>
      <c r="BK135" s="299"/>
      <c r="BL135" s="299"/>
      <c r="BM135" s="299"/>
      <c r="BN135" s="299"/>
      <c r="BO135" s="299"/>
      <c r="BP135" s="299"/>
      <c r="BQ135" s="299"/>
      <c r="BR135" s="299"/>
      <c r="BS135" s="299"/>
      <c r="BT135" s="299"/>
      <c r="BU135" s="299"/>
      <c r="BV135" s="299"/>
      <c r="BW135" s="299"/>
      <c r="BX135" s="299"/>
      <c r="BY135" s="299"/>
      <c r="BZ135" s="299"/>
      <c r="CA135" s="299"/>
      <c r="CB135" s="299"/>
      <c r="CC135" s="299"/>
      <c r="CD135" s="299"/>
      <c r="CE135" s="299"/>
      <c r="CF135" s="299"/>
      <c r="CG135" s="299"/>
      <c r="CH135" s="299"/>
      <c r="CI135" s="299"/>
      <c r="CJ135" s="299"/>
      <c r="CK135" s="299"/>
      <c r="CL135" s="299"/>
      <c r="CM135" s="299"/>
      <c r="CN135" s="299"/>
      <c r="CO135" s="299"/>
      <c r="CP135" s="299"/>
      <c r="CQ135" s="299"/>
      <c r="CR135" s="299"/>
      <c r="CS135" s="299"/>
      <c r="CT135" s="299"/>
      <c r="CU135" s="299"/>
      <c r="CV135" s="299"/>
      <c r="CW135" s="299"/>
      <c r="CX135" s="299"/>
      <c r="CY135" s="299"/>
      <c r="CZ135" s="299"/>
      <c r="DA135" s="299"/>
      <c r="DB135" s="299"/>
      <c r="DC135" s="299"/>
      <c r="DD135" s="299"/>
      <c r="DE135" s="299"/>
      <c r="DF135" s="299"/>
      <c r="DG135" s="299"/>
      <c r="DH135" s="299"/>
      <c r="DI135" s="299"/>
      <c r="DJ135" s="299"/>
      <c r="DK135" s="299"/>
      <c r="DL135" s="299"/>
      <c r="DM135" s="299"/>
      <c r="DN135" s="299"/>
      <c r="DO135" s="299"/>
      <c r="DP135" s="299"/>
      <c r="DQ135" s="299"/>
      <c r="DR135" s="299"/>
      <c r="DS135" s="299"/>
      <c r="DT135" s="299"/>
      <c r="DU135" s="299"/>
      <c r="DV135" s="299"/>
      <c r="DW135" s="299"/>
      <c r="DX135" s="299"/>
      <c r="DY135" s="299"/>
      <c r="DZ135" s="299"/>
      <c r="EA135" s="299"/>
      <c r="EB135" s="299"/>
      <c r="EC135" s="299"/>
      <c r="ED135" s="299"/>
      <c r="EE135" s="299"/>
      <c r="EF135" s="299"/>
      <c r="EG135" s="299"/>
      <c r="EH135" s="299"/>
      <c r="EI135" s="299"/>
      <c r="EJ135" s="299"/>
      <c r="EK135" s="299"/>
      <c r="EL135" s="299"/>
      <c r="EM135" s="299"/>
      <c r="EN135" s="299"/>
      <c r="EO135" s="299"/>
      <c r="EP135" s="299"/>
      <c r="EQ135" s="299"/>
      <c r="ER135" s="299"/>
      <c r="ES135" s="299"/>
      <c r="ET135" s="299"/>
      <c r="EU135" s="299"/>
      <c r="EV135" s="299"/>
      <c r="EW135" s="299"/>
      <c r="EX135" s="299"/>
      <c r="EY135" s="299"/>
      <c r="EZ135" s="299"/>
      <c r="FA135" s="299"/>
      <c r="FB135" s="299"/>
      <c r="FC135" s="299"/>
      <c r="FD135" s="299"/>
      <c r="FE135" s="299"/>
      <c r="FF135" s="299"/>
      <c r="FG135" s="299"/>
      <c r="FH135" s="299"/>
      <c r="FI135" s="299"/>
      <c r="FJ135" s="299"/>
      <c r="FK135" s="299"/>
      <c r="FL135" s="299"/>
      <c r="FM135" s="299"/>
      <c r="FN135" s="299"/>
      <c r="FO135" s="299"/>
      <c r="FP135" s="299"/>
      <c r="FQ135" s="299"/>
      <c r="FR135" s="299"/>
      <c r="FS135" s="299"/>
      <c r="FT135" s="299"/>
      <c r="FU135" s="299"/>
      <c r="FV135" s="299"/>
      <c r="FW135" s="299"/>
      <c r="FX135" s="299"/>
      <c r="FY135" s="299"/>
      <c r="FZ135" s="299"/>
      <c r="GA135" s="299"/>
      <c r="GB135" s="299"/>
      <c r="GC135" s="299"/>
      <c r="GD135" s="299"/>
      <c r="GE135" s="299"/>
      <c r="GF135" s="299"/>
      <c r="GG135" s="299"/>
      <c r="GH135" s="299"/>
      <c r="GI135" s="299"/>
      <c r="GJ135" s="299"/>
      <c r="GK135" s="299"/>
      <c r="GL135" s="299"/>
      <c r="GM135" s="299"/>
      <c r="GN135" s="299"/>
      <c r="GO135" s="299"/>
      <c r="GP135" s="299"/>
      <c r="GQ135" s="299"/>
      <c r="GR135" s="299"/>
      <c r="GS135" s="299"/>
      <c r="GT135" s="299"/>
      <c r="GU135" s="299"/>
      <c r="GV135" s="299"/>
      <c r="GW135" s="299"/>
      <c r="GX135" s="299"/>
      <c r="GY135" s="299"/>
    </row>
    <row r="136" spans="1:207" s="298" customFormat="1">
      <c r="A136" s="654"/>
      <c r="B136" s="655"/>
      <c r="C136" s="655"/>
      <c r="D136" s="656"/>
      <c r="E136" s="657"/>
      <c r="F136" s="657"/>
      <c r="G136" s="658"/>
      <c r="H136" s="658"/>
      <c r="I136" s="658"/>
      <c r="J136" s="297"/>
      <c r="K136" s="297"/>
      <c r="L136" s="297"/>
      <c r="M136" s="297"/>
      <c r="N136" s="297"/>
      <c r="O136" s="297"/>
      <c r="P136" s="1436"/>
      <c r="Q136" s="1436"/>
      <c r="R136" s="1436"/>
      <c r="S136" s="1436"/>
      <c r="T136" s="1436"/>
      <c r="U136" s="1436"/>
      <c r="V136" s="1436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  <c r="CD136" s="297"/>
      <c r="CE136" s="297"/>
      <c r="CF136" s="297"/>
      <c r="CG136" s="297"/>
      <c r="CH136" s="297"/>
      <c r="CI136" s="297"/>
      <c r="CJ136" s="297"/>
      <c r="CK136" s="297"/>
      <c r="CL136" s="297"/>
      <c r="CM136" s="297"/>
      <c r="CN136" s="297"/>
      <c r="CO136" s="297"/>
      <c r="CP136" s="297"/>
      <c r="CQ136" s="297"/>
      <c r="CR136" s="297"/>
      <c r="CS136" s="297"/>
      <c r="CT136" s="297"/>
      <c r="CU136" s="297"/>
      <c r="CV136" s="297"/>
      <c r="CW136" s="297"/>
      <c r="CX136" s="297"/>
      <c r="CY136" s="297"/>
      <c r="CZ136" s="297"/>
      <c r="DA136" s="297"/>
      <c r="DB136" s="297"/>
      <c r="DC136" s="297"/>
      <c r="DD136" s="297"/>
      <c r="DE136" s="297"/>
      <c r="DF136" s="297"/>
      <c r="DG136" s="297"/>
      <c r="DH136" s="297"/>
      <c r="DI136" s="297"/>
      <c r="DJ136" s="297"/>
      <c r="DK136" s="297"/>
      <c r="DL136" s="297"/>
      <c r="DM136" s="297"/>
      <c r="DN136" s="297"/>
      <c r="DO136" s="297"/>
      <c r="DP136" s="297"/>
      <c r="DQ136" s="297"/>
      <c r="DR136" s="297"/>
      <c r="DS136" s="297"/>
      <c r="DT136" s="297"/>
      <c r="DU136" s="297"/>
      <c r="DV136" s="297"/>
      <c r="DW136" s="297"/>
      <c r="DX136" s="297"/>
      <c r="DY136" s="297"/>
      <c r="DZ136" s="297"/>
      <c r="EA136" s="297"/>
      <c r="EB136" s="297"/>
      <c r="EC136" s="297"/>
      <c r="ED136" s="297"/>
      <c r="EE136" s="297"/>
      <c r="EF136" s="297"/>
      <c r="EG136" s="297"/>
      <c r="EH136" s="297"/>
      <c r="EI136" s="297"/>
      <c r="EJ136" s="297"/>
      <c r="EK136" s="297"/>
      <c r="EL136" s="297"/>
      <c r="EM136" s="297"/>
      <c r="EN136" s="297"/>
      <c r="EO136" s="297"/>
      <c r="EP136" s="297"/>
      <c r="EQ136" s="297"/>
      <c r="ER136" s="297"/>
      <c r="ES136" s="297"/>
      <c r="ET136" s="297"/>
      <c r="EU136" s="297"/>
      <c r="EV136" s="297"/>
      <c r="EW136" s="297"/>
      <c r="EX136" s="297"/>
      <c r="EY136" s="297"/>
      <c r="EZ136" s="297"/>
      <c r="FA136" s="297"/>
      <c r="FB136" s="297"/>
      <c r="FC136" s="297"/>
      <c r="FD136" s="297"/>
      <c r="FE136" s="297"/>
      <c r="FF136" s="297"/>
      <c r="FG136" s="297"/>
      <c r="FH136" s="297"/>
      <c r="FI136" s="297"/>
      <c r="FJ136" s="297"/>
      <c r="FK136" s="297"/>
      <c r="FL136" s="297"/>
      <c r="FM136" s="297"/>
      <c r="FN136" s="297"/>
      <c r="FO136" s="297"/>
      <c r="FP136" s="297"/>
      <c r="FQ136" s="297"/>
      <c r="FR136" s="297"/>
      <c r="FS136" s="297"/>
      <c r="FT136" s="297"/>
      <c r="FU136" s="297"/>
      <c r="FV136" s="297"/>
      <c r="FW136" s="297"/>
      <c r="FX136" s="297"/>
      <c r="FY136" s="297"/>
      <c r="FZ136" s="297"/>
      <c r="GA136" s="297"/>
      <c r="GB136" s="297"/>
      <c r="GC136" s="297"/>
      <c r="GD136" s="297"/>
      <c r="GE136" s="297"/>
      <c r="GF136" s="297"/>
      <c r="GG136" s="297"/>
      <c r="GH136" s="297"/>
      <c r="GI136" s="297"/>
      <c r="GJ136" s="297"/>
      <c r="GK136" s="297"/>
      <c r="GL136" s="297"/>
      <c r="GM136" s="297"/>
      <c r="GN136" s="297"/>
      <c r="GO136" s="297"/>
      <c r="GP136" s="297"/>
      <c r="GQ136" s="297"/>
      <c r="GR136" s="297"/>
      <c r="GS136" s="297"/>
      <c r="GT136" s="297"/>
      <c r="GU136" s="297"/>
      <c r="GV136" s="297"/>
      <c r="GW136" s="297"/>
      <c r="GX136" s="297"/>
      <c r="GY136" s="297"/>
    </row>
    <row r="137" spans="1:207" ht="13.8" thickBot="1">
      <c r="A137" s="1726" t="s">
        <v>967</v>
      </c>
      <c r="B137" s="1726"/>
      <c r="C137" s="677"/>
      <c r="D137" s="659"/>
      <c r="E137" s="659"/>
      <c r="F137" s="659"/>
      <c r="G137" s="659"/>
      <c r="H137" s="659"/>
      <c r="I137" s="659"/>
    </row>
    <row r="138" spans="1:207">
      <c r="A138" s="660" t="s">
        <v>30</v>
      </c>
      <c r="B138" s="688" t="s">
        <v>249</v>
      </c>
      <c r="C138" s="713">
        <f>SUM(C139:C140)</f>
        <v>0</v>
      </c>
      <c r="D138" s="714">
        <f>SUM(D139:D140)</f>
        <v>209612</v>
      </c>
      <c r="E138" s="714">
        <f t="shared" ref="E138:H138" si="27">SUM(E139:E140)</f>
        <v>35381</v>
      </c>
      <c r="F138" s="714">
        <f t="shared" si="27"/>
        <v>13300</v>
      </c>
      <c r="G138" s="714">
        <f t="shared" si="27"/>
        <v>255414</v>
      </c>
      <c r="H138" s="714">
        <f t="shared" si="27"/>
        <v>2380</v>
      </c>
      <c r="I138" s="715">
        <f t="shared" ref="I138" si="28">SUM(I139:I140)</f>
        <v>4126023</v>
      </c>
    </row>
    <row r="139" spans="1:207">
      <c r="A139" s="662"/>
      <c r="B139" s="689" t="s">
        <v>939</v>
      </c>
      <c r="C139" s="370">
        <f>'5. Põhivara'!D13</f>
        <v>0</v>
      </c>
      <c r="D139" s="369">
        <f>'5. Põhivara'!P13</f>
        <v>0</v>
      </c>
      <c r="E139" s="369">
        <f>'5. Põhivara'!AB13</f>
        <v>0</v>
      </c>
      <c r="F139" s="369">
        <f>'5. Põhivara'!AN13</f>
        <v>0</v>
      </c>
      <c r="G139" s="369">
        <f>'5. Põhivara'!AZ13</f>
        <v>0</v>
      </c>
      <c r="H139" s="369">
        <f>'5. Põhivara'!BL13</f>
        <v>0</v>
      </c>
      <c r="I139" s="692">
        <f>'5. Põhivara'!BX13</f>
        <v>0</v>
      </c>
    </row>
    <row r="140" spans="1:207" ht="13.8" thickBot="1">
      <c r="A140" s="663"/>
      <c r="B140" s="690" t="s">
        <v>940</v>
      </c>
      <c r="C140" s="693">
        <f>'5. Põhivara'!G13</f>
        <v>0</v>
      </c>
      <c r="D140" s="664">
        <f>'5. Põhivara'!S13</f>
        <v>209612</v>
      </c>
      <c r="E140" s="664">
        <f>'5. Põhivara'!AE13</f>
        <v>35381</v>
      </c>
      <c r="F140" s="664">
        <f>'5. Põhivara'!AQ13</f>
        <v>13300</v>
      </c>
      <c r="G140" s="664">
        <f>'5. Põhivara'!BC13</f>
        <v>255414</v>
      </c>
      <c r="H140" s="664">
        <f>'5. Põhivara'!BO13</f>
        <v>2380</v>
      </c>
      <c r="I140" s="694">
        <f>'5. Põhivara'!CA13</f>
        <v>4126023</v>
      </c>
    </row>
    <row r="141" spans="1:207" ht="13.8" thickTop="1">
      <c r="A141" s="660" t="s">
        <v>166</v>
      </c>
      <c r="B141" s="688" t="s">
        <v>38</v>
      </c>
      <c r="C141" s="716">
        <f>SUM(C142:C143)</f>
        <v>11071.3</v>
      </c>
      <c r="D141" s="661">
        <f>SUM(D142:D143)</f>
        <v>837380</v>
      </c>
      <c r="E141" s="661">
        <f t="shared" ref="E141:H141" si="29">SUM(E142:E143)</f>
        <v>4562744</v>
      </c>
      <c r="F141" s="661">
        <f t="shared" si="29"/>
        <v>1288207.31</v>
      </c>
      <c r="G141" s="661">
        <f t="shared" si="29"/>
        <v>0</v>
      </c>
      <c r="H141" s="661">
        <f t="shared" si="29"/>
        <v>0</v>
      </c>
      <c r="I141" s="717">
        <f t="shared" ref="I141" si="30">SUM(I142:I143)</f>
        <v>0</v>
      </c>
    </row>
    <row r="142" spans="1:207">
      <c r="A142" s="660"/>
      <c r="B142" s="689" t="s">
        <v>939</v>
      </c>
      <c r="C142" s="370">
        <f>'5. Põhivara'!D37</f>
        <v>0</v>
      </c>
      <c r="D142" s="665">
        <f>'5. Põhivara'!P37</f>
        <v>0</v>
      </c>
      <c r="E142" s="665">
        <f>'5. Põhivara'!AB37</f>
        <v>0</v>
      </c>
      <c r="F142" s="665">
        <f>'5. Põhivara'!AN37</f>
        <v>0</v>
      </c>
      <c r="G142" s="665">
        <f>'5. Põhivara'!AZ37</f>
        <v>0</v>
      </c>
      <c r="H142" s="665">
        <f>'5. Põhivara'!BL33</f>
        <v>0</v>
      </c>
      <c r="I142" s="696">
        <f>'5. Põhivara'!BX33</f>
        <v>0</v>
      </c>
    </row>
    <row r="143" spans="1:207" ht="13.8" thickBot="1">
      <c r="A143" s="666"/>
      <c r="B143" s="690" t="s">
        <v>940</v>
      </c>
      <c r="C143" s="693">
        <f>'5. Põhivara'!G37</f>
        <v>11071.3</v>
      </c>
      <c r="D143" s="664">
        <f>'5. Põhivara'!S37</f>
        <v>837380</v>
      </c>
      <c r="E143" s="664">
        <f>'5. Põhivara'!AE37</f>
        <v>4562744</v>
      </c>
      <c r="F143" s="664">
        <f>'5. Põhivara'!AQ37</f>
        <v>1288207.31</v>
      </c>
      <c r="G143" s="664">
        <f>'5. Põhivara'!BC37</f>
        <v>0</v>
      </c>
      <c r="H143" s="664">
        <f>'5. Põhivara'!BO37</f>
        <v>0</v>
      </c>
      <c r="I143" s="694">
        <f>'5. Põhivara'!CA37</f>
        <v>0</v>
      </c>
    </row>
    <row r="144" spans="1:207" ht="13.8" thickTop="1">
      <c r="A144" s="1593"/>
      <c r="B144" s="1594"/>
      <c r="C144" s="716">
        <f>SUM(C145:C146)</f>
        <v>0</v>
      </c>
      <c r="D144" s="661">
        <f>SUM(D145:D146)</f>
        <v>0</v>
      </c>
      <c r="E144" s="661">
        <f t="shared" ref="E144:I144" si="31">SUM(E145:E146)</f>
        <v>0</v>
      </c>
      <c r="F144" s="661">
        <f t="shared" si="31"/>
        <v>0</v>
      </c>
      <c r="G144" s="661">
        <f t="shared" si="31"/>
        <v>0</v>
      </c>
      <c r="H144" s="661">
        <f t="shared" si="31"/>
        <v>0</v>
      </c>
      <c r="I144" s="717">
        <f t="shared" si="31"/>
        <v>0</v>
      </c>
    </row>
    <row r="145" spans="1:9">
      <c r="A145" s="1593"/>
      <c r="B145" s="689"/>
      <c r="C145" s="695"/>
      <c r="D145" s="665"/>
      <c r="E145" s="665"/>
      <c r="F145" s="665"/>
      <c r="G145" s="665"/>
      <c r="H145" s="665"/>
      <c r="I145" s="696"/>
    </row>
    <row r="146" spans="1:9" ht="13.8" thickBot="1">
      <c r="A146" s="1595"/>
      <c r="B146" s="1597"/>
      <c r="C146" s="697"/>
      <c r="D146" s="667"/>
      <c r="E146" s="667"/>
      <c r="F146" s="667"/>
      <c r="G146" s="667"/>
      <c r="H146" s="667"/>
      <c r="I146" s="698"/>
    </row>
    <row r="147" spans="1:9">
      <c r="A147" s="1390" t="s">
        <v>938</v>
      </c>
      <c r="B147" s="1596"/>
      <c r="C147" s="1391">
        <f>C138+C141+C144</f>
        <v>11071.3</v>
      </c>
      <c r="D147" s="1392">
        <f>D138+D141+D144</f>
        <v>1046992</v>
      </c>
      <c r="E147" s="1392">
        <f t="shared" ref="E147:H149" si="32">E138+E141+E144</f>
        <v>4598125</v>
      </c>
      <c r="F147" s="1392">
        <f t="shared" si="32"/>
        <v>1301507.31</v>
      </c>
      <c r="G147" s="1392">
        <f t="shared" si="32"/>
        <v>255414</v>
      </c>
      <c r="H147" s="1392">
        <f t="shared" si="32"/>
        <v>2380</v>
      </c>
      <c r="I147" s="1393">
        <f t="shared" ref="I147" si="33">I138+I141+I144</f>
        <v>4126023</v>
      </c>
    </row>
    <row r="148" spans="1:9">
      <c r="A148" s="1394"/>
      <c r="B148" s="691" t="s">
        <v>939</v>
      </c>
      <c r="C148" s="699">
        <f t="shared" ref="C148:D149" si="34">C139+C142+C145</f>
        <v>0</v>
      </c>
      <c r="D148" s="668">
        <f t="shared" si="34"/>
        <v>0</v>
      </c>
      <c r="E148" s="668">
        <f t="shared" si="32"/>
        <v>0</v>
      </c>
      <c r="F148" s="668">
        <f t="shared" si="32"/>
        <v>0</v>
      </c>
      <c r="G148" s="668">
        <f t="shared" si="32"/>
        <v>0</v>
      </c>
      <c r="H148" s="668">
        <f t="shared" si="32"/>
        <v>0</v>
      </c>
      <c r="I148" s="1372">
        <f t="shared" ref="I148" si="35">I139+I142+I145</f>
        <v>0</v>
      </c>
    </row>
    <row r="149" spans="1:9" ht="13.8" thickBot="1">
      <c r="A149" s="1395"/>
      <c r="B149" s="1396" t="s">
        <v>940</v>
      </c>
      <c r="C149" s="1397">
        <f t="shared" si="34"/>
        <v>11071.3</v>
      </c>
      <c r="D149" s="1398">
        <f t="shared" si="34"/>
        <v>1046992</v>
      </c>
      <c r="E149" s="1398">
        <f t="shared" si="32"/>
        <v>4598125</v>
      </c>
      <c r="F149" s="1398">
        <f t="shared" si="32"/>
        <v>1301507.31</v>
      </c>
      <c r="G149" s="1398">
        <f t="shared" si="32"/>
        <v>255414</v>
      </c>
      <c r="H149" s="1398">
        <f t="shared" si="32"/>
        <v>2380</v>
      </c>
      <c r="I149" s="1399">
        <f t="shared" ref="I149" si="36">I140+I143+I146</f>
        <v>4126023</v>
      </c>
    </row>
    <row r="150" spans="1:9">
      <c r="A150" s="669"/>
      <c r="B150" s="670" t="s">
        <v>947</v>
      </c>
      <c r="C150" s="711">
        <f t="shared" ref="C150:D152" si="37">C117-C147</f>
        <v>0</v>
      </c>
      <c r="D150" s="711">
        <f t="shared" si="37"/>
        <v>0.42999999993480742</v>
      </c>
      <c r="E150" s="711">
        <f t="shared" ref="E150:H152" si="38">E117-E147</f>
        <v>0</v>
      </c>
      <c r="F150" s="830">
        <f t="shared" si="38"/>
        <v>11736.949999999953</v>
      </c>
      <c r="G150" s="830">
        <f t="shared" si="38"/>
        <v>4.0000000008149073E-2</v>
      </c>
      <c r="H150" s="711">
        <f t="shared" si="38"/>
        <v>0</v>
      </c>
      <c r="I150" s="711">
        <f t="shared" ref="I150" si="39">I117-I147</f>
        <v>0.21799999941140413</v>
      </c>
    </row>
    <row r="151" spans="1:9">
      <c r="A151" s="1707" t="s">
        <v>948</v>
      </c>
      <c r="B151" s="1707"/>
      <c r="C151" s="712">
        <f t="shared" si="37"/>
        <v>0</v>
      </c>
      <c r="D151" s="712">
        <f t="shared" si="37"/>
        <v>0</v>
      </c>
      <c r="E151" s="712">
        <f t="shared" si="38"/>
        <v>0</v>
      </c>
      <c r="F151" s="712">
        <f t="shared" si="38"/>
        <v>0</v>
      </c>
      <c r="G151" s="712">
        <f t="shared" si="38"/>
        <v>0</v>
      </c>
      <c r="H151" s="712">
        <f t="shared" si="38"/>
        <v>0</v>
      </c>
      <c r="I151" s="712">
        <f t="shared" ref="I151" si="40">I118-I148</f>
        <v>0</v>
      </c>
    </row>
    <row r="152" spans="1:9">
      <c r="A152" s="1707" t="s">
        <v>949</v>
      </c>
      <c r="B152" s="1707"/>
      <c r="C152" s="712">
        <f t="shared" si="37"/>
        <v>0</v>
      </c>
      <c r="D152" s="712">
        <f t="shared" si="37"/>
        <v>0.42999999993480742</v>
      </c>
      <c r="E152" s="712">
        <f t="shared" si="38"/>
        <v>0</v>
      </c>
      <c r="F152" s="829">
        <f t="shared" si="38"/>
        <v>-5.0000000046566129E-2</v>
      </c>
      <c r="G152" s="712">
        <f t="shared" si="38"/>
        <v>4.0000000008149073E-2</v>
      </c>
      <c r="H152" s="712">
        <f t="shared" si="38"/>
        <v>0</v>
      </c>
      <c r="I152" s="712">
        <f t="shared" ref="I152" si="41">I119-I149</f>
        <v>0.21799999941140413</v>
      </c>
    </row>
    <row r="153" spans="1:9">
      <c r="A153" s="300"/>
      <c r="B153" s="672"/>
      <c r="C153" s="672"/>
      <c r="D153" s="671"/>
      <c r="E153" s="671"/>
      <c r="F153" s="671"/>
      <c r="G153" s="671"/>
      <c r="H153" s="671"/>
      <c r="I153" s="671"/>
    </row>
    <row r="154" spans="1:9" ht="13.8" thickBot="1">
      <c r="A154" s="1726" t="s">
        <v>967</v>
      </c>
      <c r="B154" s="1726"/>
      <c r="C154" s="678"/>
      <c r="D154" s="300"/>
      <c r="E154" s="300"/>
      <c r="F154" s="300"/>
    </row>
    <row r="155" spans="1:9" ht="13.8" thickBot="1">
      <c r="A155" s="831" t="s">
        <v>950</v>
      </c>
      <c r="B155" s="832" t="s">
        <v>268</v>
      </c>
      <c r="C155" s="833">
        <f>'5. Põhivara'!J53</f>
        <v>579450.84000000008</v>
      </c>
      <c r="D155" s="834">
        <f>'5. Põhivara'!V53</f>
        <v>1355455.84</v>
      </c>
      <c r="E155" s="834">
        <f>'5. Põhivara'!AH53</f>
        <v>633390.83999999985</v>
      </c>
      <c r="F155" s="834">
        <f>'5. Põhivara'!AT53</f>
        <v>1086579.8399999999</v>
      </c>
      <c r="G155" s="834">
        <f>'5. Põhivara'!BF53</f>
        <v>1622949.8399999999</v>
      </c>
      <c r="H155" s="834">
        <f>'5. Põhivara'!BR53</f>
        <v>2118116.48</v>
      </c>
      <c r="I155" s="1373">
        <f>'5. Põhivara'!CD53</f>
        <v>-46540.520000000019</v>
      </c>
    </row>
    <row r="156" spans="1:9">
      <c r="A156" s="669"/>
      <c r="B156" s="672" t="s">
        <v>951</v>
      </c>
      <c r="C156" s="712">
        <f>C120-C155</f>
        <v>0</v>
      </c>
      <c r="D156" s="712">
        <f>D120-D155</f>
        <v>0</v>
      </c>
      <c r="E156" s="712">
        <f t="shared" ref="E156:H156" si="42">E120-E155</f>
        <v>0</v>
      </c>
      <c r="F156" s="712">
        <f t="shared" si="42"/>
        <v>0</v>
      </c>
      <c r="G156" s="829">
        <f t="shared" si="42"/>
        <v>0.16000000014901161</v>
      </c>
      <c r="H156" s="712">
        <f t="shared" si="42"/>
        <v>0</v>
      </c>
      <c r="I156" s="712">
        <f t="shared" ref="I156" si="43">I120-I155</f>
        <v>-0.47999999998137355</v>
      </c>
    </row>
  </sheetData>
  <mergeCells count="20">
    <mergeCell ref="I2:I4"/>
    <mergeCell ref="J1:L2"/>
    <mergeCell ref="M1:O2"/>
    <mergeCell ref="B1:H1"/>
    <mergeCell ref="A2:A4"/>
    <mergeCell ref="B2:B3"/>
    <mergeCell ref="D2:D4"/>
    <mergeCell ref="E2:E4"/>
    <mergeCell ref="F2:F4"/>
    <mergeCell ref="G2:G4"/>
    <mergeCell ref="H2:H4"/>
    <mergeCell ref="A151:B151"/>
    <mergeCell ref="A152:B152"/>
    <mergeCell ref="A154:B154"/>
    <mergeCell ref="C2:C4"/>
    <mergeCell ref="C121:H135"/>
    <mergeCell ref="A5:B5"/>
    <mergeCell ref="A98:B98"/>
    <mergeCell ref="A117:B117"/>
    <mergeCell ref="A137:B137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H68"/>
  <sheetViews>
    <sheetView zoomScale="80" zoomScaleNormal="80" workbookViewId="0">
      <pane xSplit="2" ySplit="4" topLeftCell="BR39" activePane="bottomRight" state="frozen"/>
      <selection activeCell="AB8" sqref="AB8"/>
      <selection pane="topRight" activeCell="AB8" sqref="AB8"/>
      <selection pane="bottomLeft" activeCell="AB8" sqref="AB8"/>
      <selection pane="bottomRight" sqref="A1:XFD1"/>
    </sheetView>
  </sheetViews>
  <sheetFormatPr defaultColWidth="9.33203125" defaultRowHeight="13.8"/>
  <cols>
    <col min="1" max="1" width="5.6640625" style="106" customWidth="1"/>
    <col min="2" max="2" width="56.77734375" style="21" customWidth="1"/>
    <col min="3" max="38" width="10.88671875" style="264" customWidth="1"/>
    <col min="39" max="47" width="10.88671875" style="21" customWidth="1"/>
    <col min="48" max="50" width="10.88671875" style="22" customWidth="1"/>
    <col min="51" max="59" width="10.88671875" style="21" customWidth="1"/>
    <col min="60" max="62" width="10.88671875" style="22" customWidth="1"/>
    <col min="63" max="86" width="10.88671875" style="21" customWidth="1"/>
    <col min="87" max="16384" width="9.33203125" style="21"/>
  </cols>
  <sheetData>
    <row r="1" spans="1:86" s="2045" customFormat="1" ht="21.6" thickBot="1">
      <c r="A1" s="2042"/>
      <c r="B1" s="2043"/>
      <c r="C1" s="2044" t="s">
        <v>358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V1" s="264"/>
      <c r="AW1" s="264"/>
      <c r="AX1" s="264"/>
      <c r="BH1" s="264"/>
      <c r="BI1" s="264"/>
      <c r="BJ1" s="264"/>
    </row>
    <row r="2" spans="1:86" s="600" customFormat="1" ht="18" thickBot="1">
      <c r="A2" s="599"/>
      <c r="C2" s="1747">
        <v>2019</v>
      </c>
      <c r="D2" s="1748"/>
      <c r="E2" s="1748"/>
      <c r="F2" s="1748"/>
      <c r="G2" s="1748"/>
      <c r="H2" s="1748"/>
      <c r="I2" s="1748"/>
      <c r="J2" s="1748"/>
      <c r="K2" s="1748"/>
      <c r="L2" s="1748"/>
      <c r="M2" s="1748"/>
      <c r="N2" s="1749"/>
      <c r="O2" s="1748">
        <v>2020</v>
      </c>
      <c r="P2" s="1748"/>
      <c r="Q2" s="1748"/>
      <c r="R2" s="1748"/>
      <c r="S2" s="1748"/>
      <c r="T2" s="1748"/>
      <c r="U2" s="1748"/>
      <c r="V2" s="1748"/>
      <c r="W2" s="1748"/>
      <c r="X2" s="1748"/>
      <c r="Y2" s="1748"/>
      <c r="Z2" s="1748"/>
      <c r="AA2" s="1747">
        <v>2021</v>
      </c>
      <c r="AB2" s="1748"/>
      <c r="AC2" s="1748"/>
      <c r="AD2" s="1748"/>
      <c r="AE2" s="1748"/>
      <c r="AF2" s="1748"/>
      <c r="AG2" s="1748"/>
      <c r="AH2" s="1748"/>
      <c r="AI2" s="1748"/>
      <c r="AJ2" s="1748"/>
      <c r="AK2" s="1748"/>
      <c r="AL2" s="1749"/>
      <c r="AM2" s="1747">
        <v>2022</v>
      </c>
      <c r="AN2" s="1748"/>
      <c r="AO2" s="1748"/>
      <c r="AP2" s="1748"/>
      <c r="AQ2" s="1748"/>
      <c r="AR2" s="1748"/>
      <c r="AS2" s="1748"/>
      <c r="AT2" s="1748"/>
      <c r="AU2" s="1748"/>
      <c r="AV2" s="1748"/>
      <c r="AW2" s="1748"/>
      <c r="AX2" s="1749"/>
      <c r="AY2" s="1747">
        <v>2023</v>
      </c>
      <c r="AZ2" s="1748"/>
      <c r="BA2" s="1748"/>
      <c r="BB2" s="1748"/>
      <c r="BC2" s="1748"/>
      <c r="BD2" s="1748"/>
      <c r="BE2" s="1748"/>
      <c r="BF2" s="1748"/>
      <c r="BG2" s="1748"/>
      <c r="BH2" s="1748"/>
      <c r="BI2" s="1748"/>
      <c r="BJ2" s="1749"/>
      <c r="BK2" s="1747" t="s">
        <v>1195</v>
      </c>
      <c r="BL2" s="1748"/>
      <c r="BM2" s="1748"/>
      <c r="BN2" s="1748"/>
      <c r="BO2" s="1748"/>
      <c r="BP2" s="1748"/>
      <c r="BQ2" s="1748"/>
      <c r="BR2" s="1748"/>
      <c r="BS2" s="1748"/>
      <c r="BT2" s="1748"/>
      <c r="BU2" s="1748"/>
      <c r="BV2" s="1749"/>
      <c r="BW2" s="1747" t="s">
        <v>1194</v>
      </c>
      <c r="BX2" s="1748"/>
      <c r="BY2" s="1748"/>
      <c r="BZ2" s="1748"/>
      <c r="CA2" s="1748"/>
      <c r="CB2" s="1748"/>
      <c r="CC2" s="1748"/>
      <c r="CD2" s="1748"/>
      <c r="CE2" s="1748"/>
      <c r="CF2" s="1748"/>
      <c r="CG2" s="1748"/>
      <c r="CH2" s="1749"/>
    </row>
    <row r="3" spans="1:86" s="23" customFormat="1" ht="42" customHeight="1">
      <c r="A3" s="601"/>
      <c r="B3" s="602" t="s">
        <v>995</v>
      </c>
      <c r="C3" s="1750" t="s">
        <v>244</v>
      </c>
      <c r="D3" s="1751"/>
      <c r="E3" s="1752"/>
      <c r="F3" s="1753" t="s">
        <v>262</v>
      </c>
      <c r="G3" s="1754"/>
      <c r="H3" s="1755"/>
      <c r="I3" s="1756" t="s">
        <v>245</v>
      </c>
      <c r="J3" s="1751"/>
      <c r="K3" s="1752"/>
      <c r="L3" s="1756" t="s">
        <v>246</v>
      </c>
      <c r="M3" s="1751"/>
      <c r="N3" s="1757"/>
      <c r="O3" s="1751" t="s">
        <v>244</v>
      </c>
      <c r="P3" s="1751"/>
      <c r="Q3" s="1752"/>
      <c r="R3" s="1753" t="s">
        <v>262</v>
      </c>
      <c r="S3" s="1754"/>
      <c r="T3" s="1755"/>
      <c r="U3" s="1756" t="s">
        <v>245</v>
      </c>
      <c r="V3" s="1751"/>
      <c r="W3" s="1752"/>
      <c r="X3" s="1756" t="s">
        <v>246</v>
      </c>
      <c r="Y3" s="1751"/>
      <c r="Z3" s="1751"/>
      <c r="AA3" s="1750" t="s">
        <v>244</v>
      </c>
      <c r="AB3" s="1751"/>
      <c r="AC3" s="1752"/>
      <c r="AD3" s="1753" t="s">
        <v>262</v>
      </c>
      <c r="AE3" s="1754"/>
      <c r="AF3" s="1755"/>
      <c r="AG3" s="1756" t="s">
        <v>245</v>
      </c>
      <c r="AH3" s="1751"/>
      <c r="AI3" s="1752"/>
      <c r="AJ3" s="1756" t="s">
        <v>246</v>
      </c>
      <c r="AK3" s="1751"/>
      <c r="AL3" s="1757"/>
      <c r="AM3" s="1751" t="s">
        <v>244</v>
      </c>
      <c r="AN3" s="1751"/>
      <c r="AO3" s="1752"/>
      <c r="AP3" s="1753" t="s">
        <v>262</v>
      </c>
      <c r="AQ3" s="1754"/>
      <c r="AR3" s="1755"/>
      <c r="AS3" s="1756" t="s">
        <v>245</v>
      </c>
      <c r="AT3" s="1751"/>
      <c r="AU3" s="1752"/>
      <c r="AV3" s="1756" t="s">
        <v>246</v>
      </c>
      <c r="AW3" s="1751"/>
      <c r="AX3" s="1757"/>
      <c r="AY3" s="1750" t="s">
        <v>244</v>
      </c>
      <c r="AZ3" s="1751"/>
      <c r="BA3" s="1752"/>
      <c r="BB3" s="1753" t="s">
        <v>262</v>
      </c>
      <c r="BC3" s="1754"/>
      <c r="BD3" s="1755"/>
      <c r="BE3" s="1756" t="s">
        <v>245</v>
      </c>
      <c r="BF3" s="1751"/>
      <c r="BG3" s="1752"/>
      <c r="BH3" s="1756" t="s">
        <v>246</v>
      </c>
      <c r="BI3" s="1751"/>
      <c r="BJ3" s="1757"/>
      <c r="BK3" s="1750" t="s">
        <v>244</v>
      </c>
      <c r="BL3" s="1751"/>
      <c r="BM3" s="1752"/>
      <c r="BN3" s="1753" t="s">
        <v>262</v>
      </c>
      <c r="BO3" s="1754"/>
      <c r="BP3" s="1755"/>
      <c r="BQ3" s="1756" t="s">
        <v>245</v>
      </c>
      <c r="BR3" s="1751"/>
      <c r="BS3" s="1752"/>
      <c r="BT3" s="1756" t="s">
        <v>246</v>
      </c>
      <c r="BU3" s="1751"/>
      <c r="BV3" s="1757"/>
      <c r="BW3" s="1750" t="s">
        <v>244</v>
      </c>
      <c r="BX3" s="1751"/>
      <c r="BY3" s="1752"/>
      <c r="BZ3" s="1753" t="s">
        <v>262</v>
      </c>
      <c r="CA3" s="1754"/>
      <c r="CB3" s="1755"/>
      <c r="CC3" s="1756" t="s">
        <v>245</v>
      </c>
      <c r="CD3" s="1751"/>
      <c r="CE3" s="1752"/>
      <c r="CF3" s="1756" t="s">
        <v>246</v>
      </c>
      <c r="CG3" s="1751"/>
      <c r="CH3" s="1757"/>
    </row>
    <row r="4" spans="1:86" s="25" customFormat="1" ht="27" thickBot="1">
      <c r="A4" s="603" t="s">
        <v>72</v>
      </c>
      <c r="B4" s="604" t="s">
        <v>56</v>
      </c>
      <c r="C4" s="605" t="s">
        <v>898</v>
      </c>
      <c r="D4" s="606" t="s">
        <v>787</v>
      </c>
      <c r="E4" s="607" t="s">
        <v>887</v>
      </c>
      <c r="F4" s="608" t="s">
        <v>898</v>
      </c>
      <c r="G4" s="606" t="s">
        <v>787</v>
      </c>
      <c r="H4" s="607" t="s">
        <v>887</v>
      </c>
      <c r="I4" s="608" t="s">
        <v>898</v>
      </c>
      <c r="J4" s="606" t="s">
        <v>787</v>
      </c>
      <c r="K4" s="607" t="s">
        <v>887</v>
      </c>
      <c r="L4" s="608" t="s">
        <v>898</v>
      </c>
      <c r="M4" s="606" t="s">
        <v>787</v>
      </c>
      <c r="N4" s="609" t="s">
        <v>887</v>
      </c>
      <c r="O4" s="608" t="s">
        <v>898</v>
      </c>
      <c r="P4" s="606" t="s">
        <v>787</v>
      </c>
      <c r="Q4" s="607" t="s">
        <v>887</v>
      </c>
      <c r="R4" s="608" t="s">
        <v>898</v>
      </c>
      <c r="S4" s="606" t="s">
        <v>787</v>
      </c>
      <c r="T4" s="607" t="s">
        <v>887</v>
      </c>
      <c r="U4" s="608" t="s">
        <v>898</v>
      </c>
      <c r="V4" s="606" t="s">
        <v>787</v>
      </c>
      <c r="W4" s="607" t="s">
        <v>887</v>
      </c>
      <c r="X4" s="608" t="s">
        <v>898</v>
      </c>
      <c r="Y4" s="606" t="s">
        <v>787</v>
      </c>
      <c r="Z4" s="617" t="s">
        <v>887</v>
      </c>
      <c r="AA4" s="605" t="s">
        <v>898</v>
      </c>
      <c r="AB4" s="606" t="s">
        <v>787</v>
      </c>
      <c r="AC4" s="607" t="s">
        <v>887</v>
      </c>
      <c r="AD4" s="608" t="s">
        <v>898</v>
      </c>
      <c r="AE4" s="606" t="s">
        <v>787</v>
      </c>
      <c r="AF4" s="607" t="s">
        <v>887</v>
      </c>
      <c r="AG4" s="608" t="s">
        <v>898</v>
      </c>
      <c r="AH4" s="606" t="s">
        <v>787</v>
      </c>
      <c r="AI4" s="607" t="s">
        <v>887</v>
      </c>
      <c r="AJ4" s="608" t="s">
        <v>898</v>
      </c>
      <c r="AK4" s="606" t="s">
        <v>787</v>
      </c>
      <c r="AL4" s="609" t="s">
        <v>887</v>
      </c>
      <c r="AM4" s="608" t="s">
        <v>898</v>
      </c>
      <c r="AN4" s="606" t="s">
        <v>787</v>
      </c>
      <c r="AO4" s="607" t="s">
        <v>887</v>
      </c>
      <c r="AP4" s="608" t="s">
        <v>898</v>
      </c>
      <c r="AQ4" s="606" t="s">
        <v>787</v>
      </c>
      <c r="AR4" s="607" t="s">
        <v>887</v>
      </c>
      <c r="AS4" s="608" t="s">
        <v>898</v>
      </c>
      <c r="AT4" s="606" t="s">
        <v>787</v>
      </c>
      <c r="AU4" s="607" t="s">
        <v>887</v>
      </c>
      <c r="AV4" s="608" t="s">
        <v>898</v>
      </c>
      <c r="AW4" s="606" t="s">
        <v>787</v>
      </c>
      <c r="AX4" s="609" t="s">
        <v>887</v>
      </c>
      <c r="AY4" s="605" t="s">
        <v>898</v>
      </c>
      <c r="AZ4" s="606" t="s">
        <v>787</v>
      </c>
      <c r="BA4" s="607" t="s">
        <v>887</v>
      </c>
      <c r="BB4" s="608" t="s">
        <v>898</v>
      </c>
      <c r="BC4" s="606" t="s">
        <v>787</v>
      </c>
      <c r="BD4" s="607" t="s">
        <v>887</v>
      </c>
      <c r="BE4" s="608" t="s">
        <v>898</v>
      </c>
      <c r="BF4" s="606" t="s">
        <v>787</v>
      </c>
      <c r="BG4" s="607" t="s">
        <v>887</v>
      </c>
      <c r="BH4" s="608" t="s">
        <v>898</v>
      </c>
      <c r="BI4" s="606" t="s">
        <v>787</v>
      </c>
      <c r="BJ4" s="609" t="s">
        <v>887</v>
      </c>
      <c r="BK4" s="605" t="s">
        <v>898</v>
      </c>
      <c r="BL4" s="606" t="s">
        <v>787</v>
      </c>
      <c r="BM4" s="607" t="s">
        <v>887</v>
      </c>
      <c r="BN4" s="608" t="s">
        <v>898</v>
      </c>
      <c r="BO4" s="606" t="s">
        <v>787</v>
      </c>
      <c r="BP4" s="607" t="s">
        <v>887</v>
      </c>
      <c r="BQ4" s="608" t="s">
        <v>898</v>
      </c>
      <c r="BR4" s="606" t="s">
        <v>787</v>
      </c>
      <c r="BS4" s="607" t="s">
        <v>887</v>
      </c>
      <c r="BT4" s="608" t="s">
        <v>898</v>
      </c>
      <c r="BU4" s="606" t="s">
        <v>787</v>
      </c>
      <c r="BV4" s="609" t="s">
        <v>887</v>
      </c>
      <c r="BW4" s="605" t="s">
        <v>898</v>
      </c>
      <c r="BX4" s="606" t="s">
        <v>787</v>
      </c>
      <c r="BY4" s="607" t="s">
        <v>887</v>
      </c>
      <c r="BZ4" s="608" t="s">
        <v>898</v>
      </c>
      <c r="CA4" s="606" t="s">
        <v>787</v>
      </c>
      <c r="CB4" s="607" t="s">
        <v>887</v>
      </c>
      <c r="CC4" s="608" t="s">
        <v>898</v>
      </c>
      <c r="CD4" s="606" t="s">
        <v>787</v>
      </c>
      <c r="CE4" s="607" t="s">
        <v>887</v>
      </c>
      <c r="CF4" s="608" t="s">
        <v>898</v>
      </c>
      <c r="CG4" s="606" t="s">
        <v>787</v>
      </c>
      <c r="CH4" s="609" t="s">
        <v>887</v>
      </c>
    </row>
    <row r="5" spans="1:86" s="35" customFormat="1">
      <c r="A5" s="107">
        <v>1</v>
      </c>
      <c r="B5" s="26" t="s">
        <v>247</v>
      </c>
      <c r="C5" s="566">
        <f t="shared" ref="C5:C60" si="0">SUM(D5:E5)</f>
        <v>85987.199999999997</v>
      </c>
      <c r="D5" s="27">
        <f>SUM(D6:D8)</f>
        <v>85973.237999999998</v>
      </c>
      <c r="E5" s="28">
        <f>SUM(E6:E8)</f>
        <v>13.962000000000002</v>
      </c>
      <c r="F5" s="29">
        <f t="shared" ref="F5:F60" si="1">SUM(G5:H5)</f>
        <v>7099527.6799999997</v>
      </c>
      <c r="G5" s="27">
        <f>SUM(G6:G8)</f>
        <v>7085996.6799999997</v>
      </c>
      <c r="H5" s="30">
        <f>SUM(H6:H8)</f>
        <v>13531</v>
      </c>
      <c r="I5" s="31">
        <f t="shared" ref="I5:I60" si="2">SUM(J5:K5)</f>
        <v>62905.140000000072</v>
      </c>
      <c r="J5" s="27">
        <f>SUM(J6:J8)</f>
        <v>62905.140000000072</v>
      </c>
      <c r="K5" s="32">
        <f>SUM(K6:K8)</f>
        <v>0</v>
      </c>
      <c r="L5" s="409">
        <f t="shared" ref="L5:L60" si="3">SUM(M5:N5)</f>
        <v>7248420.0200000005</v>
      </c>
      <c r="M5" s="34">
        <f>SUM(M6:M8)</f>
        <v>7234875.0580000002</v>
      </c>
      <c r="N5" s="567">
        <f>SUM(N6:N8)</f>
        <v>13544.962</v>
      </c>
      <c r="O5" s="29">
        <f t="shared" ref="O5:O60" si="4">SUM(P5:Q5)</f>
        <v>86577.2</v>
      </c>
      <c r="P5" s="27">
        <f>SUM(P6:P8)</f>
        <v>86563.237999999998</v>
      </c>
      <c r="Q5" s="28">
        <f>SUM(Q6:Q8)</f>
        <v>13.962000000000002</v>
      </c>
      <c r="R5" s="29">
        <f t="shared" ref="R5:R60" si="5">SUM(S5:T5)</f>
        <v>7110598.9800000004</v>
      </c>
      <c r="S5" s="27">
        <f>SUM(S6:S8)</f>
        <v>7097067.9800000004</v>
      </c>
      <c r="T5" s="30">
        <f>SUM(T6:T8)</f>
        <v>13531</v>
      </c>
      <c r="U5" s="31">
        <f t="shared" ref="U5:U60" si="6">SUM(V5:W5)</f>
        <v>579450.84000000008</v>
      </c>
      <c r="V5" s="27">
        <f>SUM(V6:V8)</f>
        <v>579450.84000000008</v>
      </c>
      <c r="W5" s="32">
        <f>SUM(W6:W8)</f>
        <v>0</v>
      </c>
      <c r="X5" s="33">
        <f t="shared" ref="X5:X60" si="7">SUM(Y5:Z5)</f>
        <v>7776627.0200000005</v>
      </c>
      <c r="Y5" s="34">
        <f>SUM(Y6:Y8)</f>
        <v>7763082.0580000002</v>
      </c>
      <c r="Z5" s="555">
        <f>SUM(Z6:Z8)</f>
        <v>13544.962</v>
      </c>
      <c r="AA5" s="566">
        <f t="shared" ref="AA5:AA60" si="8">SUM(AB5:AC5)</f>
        <v>96647.2</v>
      </c>
      <c r="AB5" s="27">
        <f>SUM(AB6:AB8)</f>
        <v>96633.237999999998</v>
      </c>
      <c r="AC5" s="28">
        <f>SUM(AC6:AC8)</f>
        <v>13.962000000000002</v>
      </c>
      <c r="AD5" s="29">
        <f t="shared" ref="AD5:AD60" si="9">SUM(AE5:AF5)</f>
        <v>8156221.9800000004</v>
      </c>
      <c r="AE5" s="27">
        <f>SUM(AE6:AE8)</f>
        <v>8133460.9800000004</v>
      </c>
      <c r="AF5" s="30">
        <f>SUM(AF6:AF8)</f>
        <v>22761</v>
      </c>
      <c r="AG5" s="31">
        <f t="shared" ref="AG5:AG60" si="10">SUM(AH5:AI5)</f>
        <v>1355455.84</v>
      </c>
      <c r="AH5" s="27">
        <f>SUM(AH6:AH8)</f>
        <v>1355455.84</v>
      </c>
      <c r="AI5" s="32">
        <f>SUM(AI6:AI8)</f>
        <v>0</v>
      </c>
      <c r="AJ5" s="33">
        <f t="shared" ref="AJ5:AJ60" si="11">SUM(AK5:AL5)</f>
        <v>9608325.0199999996</v>
      </c>
      <c r="AK5" s="34">
        <f>SUM(AK6:AK8)</f>
        <v>9585550.0580000002</v>
      </c>
      <c r="AL5" s="567">
        <f>SUM(AL6:AL8)</f>
        <v>22774.962</v>
      </c>
      <c r="AM5" s="29">
        <f t="shared" ref="AM5:AM60" si="12">SUM(AN5:AO5)</f>
        <v>96817.2</v>
      </c>
      <c r="AN5" s="27">
        <f>SUM(AN6:AN8)</f>
        <v>96803.237999999998</v>
      </c>
      <c r="AO5" s="28">
        <f>SUM(AO6:AO8)</f>
        <v>13.962000000000002</v>
      </c>
      <c r="AP5" s="29">
        <f t="shared" ref="AP5:AP60" si="13">SUM(AQ5:AR5)</f>
        <v>12961248.98</v>
      </c>
      <c r="AQ5" s="27">
        <f>SUM(AQ6:AQ8)</f>
        <v>12938487.98</v>
      </c>
      <c r="AR5" s="30">
        <f>SUM(AR6:AR8)</f>
        <v>22761</v>
      </c>
      <c r="AS5" s="31">
        <f t="shared" ref="AS5:AS60" si="14">SUM(AT5:AU5)</f>
        <v>633390.83999999985</v>
      </c>
      <c r="AT5" s="27">
        <f>SUM(AT6:AT8)</f>
        <v>633390.83999999985</v>
      </c>
      <c r="AU5" s="32">
        <f>SUM(AU6:AU8)</f>
        <v>0</v>
      </c>
      <c r="AV5" s="409">
        <f t="shared" ref="AV5:AV60" si="15">SUM(AW5:AX5)</f>
        <v>13691457.019999998</v>
      </c>
      <c r="AW5" s="34">
        <f>SUM(AW6:AW8)</f>
        <v>13668682.057999998</v>
      </c>
      <c r="AX5" s="555">
        <f>SUM(AX6:AX8)</f>
        <v>22774.962</v>
      </c>
      <c r="AY5" s="566">
        <f t="shared" ref="AY5" si="16">SUM(AZ5:BA5)</f>
        <v>96817.2</v>
      </c>
      <c r="AZ5" s="27">
        <f>SUM(AZ6:AZ8)</f>
        <v>96803.237999999998</v>
      </c>
      <c r="BA5" s="28">
        <f>SUM(BA6:BA8)</f>
        <v>13.962000000000002</v>
      </c>
      <c r="BB5" s="29">
        <f t="shared" ref="BB5:BB60" si="17">SUM(BC5:BD5)</f>
        <v>14274492.979999999</v>
      </c>
      <c r="BC5" s="27">
        <f>SUM(BC6:BC8)</f>
        <v>14239995.289999999</v>
      </c>
      <c r="BD5" s="30">
        <f>SUM(BD6:BD8)</f>
        <v>34497.69</v>
      </c>
      <c r="BE5" s="31">
        <f t="shared" ref="BE5:BE60" si="18">SUM(BF5:BG5)</f>
        <v>1086579.8399999999</v>
      </c>
      <c r="BF5" s="27">
        <f>SUM(BF6:BF8)</f>
        <v>1086579.8399999999</v>
      </c>
      <c r="BG5" s="32">
        <f>SUM(BG6:BG8)</f>
        <v>0</v>
      </c>
      <c r="BH5" s="33">
        <f t="shared" ref="BH5:BH60" si="19">SUM(BI5:BJ5)</f>
        <v>15457890.02</v>
      </c>
      <c r="BI5" s="34">
        <f>SUM(BI6:BI8)</f>
        <v>15423378.367999999</v>
      </c>
      <c r="BJ5" s="567">
        <f>SUM(BJ6:BJ8)</f>
        <v>34511.652000000002</v>
      </c>
      <c r="BK5" s="566">
        <f t="shared" ref="BK5" si="20">SUM(BL5:BM5)</f>
        <v>96207.2</v>
      </c>
      <c r="BL5" s="27">
        <f>SUM(BL6:BL8)</f>
        <v>96193.237999999998</v>
      </c>
      <c r="BM5" s="28">
        <f>SUM(BM6:BM8)</f>
        <v>13.962000000000002</v>
      </c>
      <c r="BN5" s="29">
        <f t="shared" ref="BN5:BN60" si="21">SUM(BO5:BP5)</f>
        <v>14284647.979999999</v>
      </c>
      <c r="BO5" s="27">
        <f>SUM(BO6:BO8)</f>
        <v>14250150.289999999</v>
      </c>
      <c r="BP5" s="30">
        <f>SUM(BP6:BP8)</f>
        <v>34497.69</v>
      </c>
      <c r="BQ5" s="31">
        <f t="shared" ref="BQ5:BQ60" si="22">SUM(BR5:BS5)</f>
        <v>1622949.8399999999</v>
      </c>
      <c r="BR5" s="27">
        <f>SUM(BR6:BR8)</f>
        <v>1622949.8399999999</v>
      </c>
      <c r="BS5" s="32">
        <f>SUM(BS6:BS8)</f>
        <v>0</v>
      </c>
      <c r="BT5" s="33">
        <f t="shared" ref="BT5:BT60" si="23">SUM(BU5:BV5)</f>
        <v>16003805.02</v>
      </c>
      <c r="BU5" s="34">
        <f>SUM(BU6:BU8)</f>
        <v>15969293.367999999</v>
      </c>
      <c r="BV5" s="567">
        <f>SUM(BV6:BV8)</f>
        <v>34511.652000000002</v>
      </c>
      <c r="BW5" s="566">
        <f t="shared" ref="BW5" si="24">SUM(BX5:BY5)</f>
        <v>96207.2</v>
      </c>
      <c r="BX5" s="27">
        <f>SUM(BX6:BX8)</f>
        <v>96193.237999999998</v>
      </c>
      <c r="BY5" s="28">
        <f>SUM(BY6:BY8)</f>
        <v>13.962000000000002</v>
      </c>
      <c r="BZ5" s="29">
        <f t="shared" ref="BZ5:BZ11" si="25">SUM(CA5:CB5)</f>
        <v>14287027.979999999</v>
      </c>
      <c r="CA5" s="27">
        <f>SUM(CA6:CA8)</f>
        <v>14252530.289999999</v>
      </c>
      <c r="CB5" s="30">
        <f>SUM(CB6:CB8)</f>
        <v>34497.69</v>
      </c>
      <c r="CC5" s="31">
        <f t="shared" ref="CC5:CC11" si="26">SUM(CD5:CE5)</f>
        <v>2118116.48</v>
      </c>
      <c r="CD5" s="27">
        <f>SUM(CD6:CD8)</f>
        <v>2118116.48</v>
      </c>
      <c r="CE5" s="32">
        <f>SUM(CE6:CE8)</f>
        <v>0</v>
      </c>
      <c r="CF5" s="33">
        <f t="shared" ref="CF5:CF11" si="27">SUM(CG5:CH5)</f>
        <v>16501351.66</v>
      </c>
      <c r="CG5" s="34">
        <f>SUM(CG6:CG8)</f>
        <v>16466840.007999999</v>
      </c>
      <c r="CH5" s="567">
        <f>SUM(CH6:CH8)</f>
        <v>34511.652000000002</v>
      </c>
    </row>
    <row r="6" spans="1:86" s="24" customFormat="1">
      <c r="A6" s="108" t="s">
        <v>269</v>
      </c>
      <c r="B6" s="36" t="s">
        <v>218</v>
      </c>
      <c r="C6" s="568">
        <f t="shared" si="0"/>
        <v>0</v>
      </c>
      <c r="D6" s="132"/>
      <c r="E6" s="133"/>
      <c r="F6" s="39">
        <f t="shared" si="1"/>
        <v>0</v>
      </c>
      <c r="G6" s="132">
        <f>22152*0</f>
        <v>0</v>
      </c>
      <c r="H6" s="133"/>
      <c r="I6" s="41">
        <f t="shared" si="2"/>
        <v>0</v>
      </c>
      <c r="J6" s="132"/>
      <c r="K6" s="133"/>
      <c r="L6" s="410">
        <f t="shared" si="3"/>
        <v>0</v>
      </c>
      <c r="M6" s="44">
        <f>D6+G6+J6</f>
        <v>0</v>
      </c>
      <c r="N6" s="569">
        <f t="shared" ref="N6:N8" si="28">E6+H6+K6</f>
        <v>0</v>
      </c>
      <c r="O6" s="39">
        <f t="shared" si="4"/>
        <v>0</v>
      </c>
      <c r="P6" s="37">
        <f>D54</f>
        <v>0</v>
      </c>
      <c r="Q6" s="38">
        <f t="shared" ref="Q6:Q8" si="29">E54</f>
        <v>0</v>
      </c>
      <c r="R6" s="39">
        <f t="shared" si="5"/>
        <v>0</v>
      </c>
      <c r="S6" s="37">
        <f>G54</f>
        <v>0</v>
      </c>
      <c r="T6" s="40">
        <f t="shared" ref="T6:T8" si="30">H54</f>
        <v>0</v>
      </c>
      <c r="U6" s="41">
        <f t="shared" si="6"/>
        <v>0</v>
      </c>
      <c r="V6" s="37">
        <f>J54</f>
        <v>0</v>
      </c>
      <c r="W6" s="42">
        <f t="shared" ref="W6:W8" si="31">K54</f>
        <v>0</v>
      </c>
      <c r="X6" s="43">
        <f t="shared" si="7"/>
        <v>0</v>
      </c>
      <c r="Y6" s="44">
        <f>P6+S6+V6</f>
        <v>0</v>
      </c>
      <c r="Z6" s="556">
        <f t="shared" ref="Z6:Z8" si="32">Q6+T6+W6</f>
        <v>0</v>
      </c>
      <c r="AA6" s="568">
        <f t="shared" si="8"/>
        <v>0</v>
      </c>
      <c r="AB6" s="37">
        <f>P54</f>
        <v>0</v>
      </c>
      <c r="AC6" s="38">
        <f t="shared" ref="AC6:AC8" si="33">Q54</f>
        <v>0</v>
      </c>
      <c r="AD6" s="39">
        <f t="shared" si="9"/>
        <v>0</v>
      </c>
      <c r="AE6" s="37">
        <f>S54</f>
        <v>0</v>
      </c>
      <c r="AF6" s="40">
        <f t="shared" ref="AF6:AF8" si="34">T54</f>
        <v>0</v>
      </c>
      <c r="AG6" s="41">
        <f t="shared" si="10"/>
        <v>0</v>
      </c>
      <c r="AH6" s="37">
        <f>V54</f>
        <v>0</v>
      </c>
      <c r="AI6" s="42">
        <f t="shared" ref="AI6:AI8" si="35">W54</f>
        <v>0</v>
      </c>
      <c r="AJ6" s="43">
        <f t="shared" si="11"/>
        <v>0</v>
      </c>
      <c r="AK6" s="44">
        <f>AB6+AE6+AH6</f>
        <v>0</v>
      </c>
      <c r="AL6" s="569">
        <f t="shared" ref="AL6:AL8" si="36">AC6+AF6+AI6</f>
        <v>0</v>
      </c>
      <c r="AM6" s="39">
        <f t="shared" si="12"/>
        <v>0</v>
      </c>
      <c r="AN6" s="37">
        <f>AB54</f>
        <v>0</v>
      </c>
      <c r="AO6" s="38">
        <f t="shared" ref="AO6:AO8" si="37">AC54</f>
        <v>0</v>
      </c>
      <c r="AP6" s="39">
        <f t="shared" si="13"/>
        <v>0</v>
      </c>
      <c r="AQ6" s="37">
        <f>AE54</f>
        <v>0</v>
      </c>
      <c r="AR6" s="40">
        <f t="shared" ref="AR6:AR8" si="38">AF54</f>
        <v>0</v>
      </c>
      <c r="AS6" s="41">
        <f t="shared" si="14"/>
        <v>0</v>
      </c>
      <c r="AT6" s="37">
        <f>AH54</f>
        <v>0</v>
      </c>
      <c r="AU6" s="42">
        <f t="shared" ref="AU6:AU8" si="39">AI54</f>
        <v>0</v>
      </c>
      <c r="AV6" s="410">
        <f t="shared" si="15"/>
        <v>0</v>
      </c>
      <c r="AW6" s="44">
        <f>AN6+AQ6+AT6</f>
        <v>0</v>
      </c>
      <c r="AX6" s="556">
        <f t="shared" ref="AX6:AX8" si="40">AO6+AR6+AU6</f>
        <v>0</v>
      </c>
      <c r="AY6" s="568">
        <f>SUM(AZ6:BA6)</f>
        <v>0</v>
      </c>
      <c r="AZ6" s="37">
        <f>AN54</f>
        <v>0</v>
      </c>
      <c r="BA6" s="38">
        <f t="shared" ref="BA6:BA8" si="41">AO54</f>
        <v>0</v>
      </c>
      <c r="BB6" s="39">
        <f t="shared" si="17"/>
        <v>0</v>
      </c>
      <c r="BC6" s="37">
        <f>AQ54</f>
        <v>0</v>
      </c>
      <c r="BD6" s="40">
        <f t="shared" ref="BD6:BD8" si="42">AR54</f>
        <v>0</v>
      </c>
      <c r="BE6" s="41">
        <f t="shared" si="18"/>
        <v>0</v>
      </c>
      <c r="BF6" s="37">
        <f>AT54</f>
        <v>0</v>
      </c>
      <c r="BG6" s="42">
        <f t="shared" ref="BG6:BG8" si="43">AU54</f>
        <v>0</v>
      </c>
      <c r="BH6" s="43">
        <f t="shared" si="19"/>
        <v>0</v>
      </c>
      <c r="BI6" s="44">
        <f>AZ6+BC6+BF6</f>
        <v>0</v>
      </c>
      <c r="BJ6" s="569">
        <f t="shared" ref="BJ6:BJ8" si="44">BA6+BD6+BG6</f>
        <v>0</v>
      </c>
      <c r="BK6" s="568">
        <f>SUM(BL6:BM6)</f>
        <v>0</v>
      </c>
      <c r="BL6" s="37">
        <f>AZ54</f>
        <v>0</v>
      </c>
      <c r="BM6" s="38">
        <f t="shared" ref="BM6:BM8" si="45">BA54</f>
        <v>0</v>
      </c>
      <c r="BN6" s="39">
        <f t="shared" si="21"/>
        <v>0</v>
      </c>
      <c r="BO6" s="37">
        <f>BC54</f>
        <v>0</v>
      </c>
      <c r="BP6" s="40">
        <f t="shared" ref="BP6:BP8" si="46">BD54</f>
        <v>0</v>
      </c>
      <c r="BQ6" s="41">
        <f t="shared" si="22"/>
        <v>0</v>
      </c>
      <c r="BR6" s="37">
        <f>BF54</f>
        <v>0</v>
      </c>
      <c r="BS6" s="42">
        <f t="shared" ref="BS6:BS8" si="47">BG54</f>
        <v>0</v>
      </c>
      <c r="BT6" s="43">
        <f t="shared" si="23"/>
        <v>0</v>
      </c>
      <c r="BU6" s="44">
        <f>BL6+BO6+BR6</f>
        <v>0</v>
      </c>
      <c r="BV6" s="569">
        <f t="shared" ref="BV6:BV8" si="48">BM6+BP6+BS6</f>
        <v>0</v>
      </c>
      <c r="BW6" s="568">
        <f>SUM(BX6:BY6)</f>
        <v>0</v>
      </c>
      <c r="BX6" s="37">
        <f>BL54</f>
        <v>0</v>
      </c>
      <c r="BY6" s="38">
        <f t="shared" ref="BY6:BY8" si="49">BM54</f>
        <v>0</v>
      </c>
      <c r="BZ6" s="39">
        <f t="shared" si="25"/>
        <v>0</v>
      </c>
      <c r="CA6" s="37">
        <f>BO54</f>
        <v>0</v>
      </c>
      <c r="CB6" s="40">
        <f t="shared" ref="CB6:CB8" si="50">BP54</f>
        <v>0</v>
      </c>
      <c r="CC6" s="41">
        <f t="shared" si="26"/>
        <v>0</v>
      </c>
      <c r="CD6" s="37">
        <f>BR54</f>
        <v>0</v>
      </c>
      <c r="CE6" s="42">
        <f t="shared" ref="CE6:CE8" si="51">BS54</f>
        <v>0</v>
      </c>
      <c r="CF6" s="43">
        <f t="shared" si="27"/>
        <v>0</v>
      </c>
      <c r="CG6" s="44">
        <f>BX6+CA6+CD6</f>
        <v>0</v>
      </c>
      <c r="CH6" s="569">
        <f t="shared" ref="CH6:CH8" si="52">BY6+CB6+CE6</f>
        <v>0</v>
      </c>
    </row>
    <row r="7" spans="1:86" s="24" customFormat="1">
      <c r="A7" s="108" t="s">
        <v>270</v>
      </c>
      <c r="B7" s="45" t="s">
        <v>216</v>
      </c>
      <c r="C7" s="568">
        <f t="shared" si="0"/>
        <v>0</v>
      </c>
      <c r="D7" s="132"/>
      <c r="E7" s="133"/>
      <c r="F7" s="39">
        <f t="shared" si="1"/>
        <v>4846720.2</v>
      </c>
      <c r="G7" s="132">
        <f>4846720.2-H7</f>
        <v>4841510.2</v>
      </c>
      <c r="H7" s="133">
        <f>5210</f>
        <v>5210</v>
      </c>
      <c r="I7" s="41">
        <f t="shared" si="2"/>
        <v>0</v>
      </c>
      <c r="J7" s="132"/>
      <c r="K7" s="133"/>
      <c r="L7" s="410">
        <f t="shared" si="3"/>
        <v>4846720.2</v>
      </c>
      <c r="M7" s="44">
        <f t="shared" ref="M7:M8" si="53">D7+G7+J7</f>
        <v>4841510.2</v>
      </c>
      <c r="N7" s="569">
        <f t="shared" si="28"/>
        <v>5210</v>
      </c>
      <c r="O7" s="39">
        <f t="shared" si="4"/>
        <v>0</v>
      </c>
      <c r="P7" s="37">
        <f t="shared" ref="P7:P8" si="54">D55</f>
        <v>0</v>
      </c>
      <c r="Q7" s="38">
        <f t="shared" si="29"/>
        <v>0</v>
      </c>
      <c r="R7" s="39">
        <f t="shared" si="5"/>
        <v>4846720.2</v>
      </c>
      <c r="S7" s="37">
        <f t="shared" ref="S7:S8" si="55">G55</f>
        <v>4841510.2</v>
      </c>
      <c r="T7" s="40">
        <f t="shared" si="30"/>
        <v>5210</v>
      </c>
      <c r="U7" s="41">
        <f t="shared" si="6"/>
        <v>299674</v>
      </c>
      <c r="V7" s="37">
        <f t="shared" ref="V7:V8" si="56">J55</f>
        <v>299674</v>
      </c>
      <c r="W7" s="42">
        <f t="shared" si="31"/>
        <v>0</v>
      </c>
      <c r="X7" s="43">
        <f t="shared" si="7"/>
        <v>5146394.2</v>
      </c>
      <c r="Y7" s="44">
        <f t="shared" ref="Y7:Y8" si="57">P7+S7+V7</f>
        <v>5141184.2</v>
      </c>
      <c r="Z7" s="556">
        <f t="shared" si="32"/>
        <v>5210</v>
      </c>
      <c r="AA7" s="568">
        <f t="shared" si="8"/>
        <v>0</v>
      </c>
      <c r="AB7" s="37">
        <f t="shared" ref="AB7:AB8" si="58">P55</f>
        <v>0</v>
      </c>
      <c r="AC7" s="38">
        <f t="shared" si="33"/>
        <v>0</v>
      </c>
      <c r="AD7" s="39">
        <f t="shared" si="9"/>
        <v>5227848.2</v>
      </c>
      <c r="AE7" s="37">
        <f t="shared" ref="AE7:AE8" si="59">S55</f>
        <v>5222638.2</v>
      </c>
      <c r="AF7" s="40">
        <f t="shared" si="34"/>
        <v>5210</v>
      </c>
      <c r="AG7" s="41">
        <f t="shared" si="10"/>
        <v>898234</v>
      </c>
      <c r="AH7" s="37">
        <f t="shared" ref="AH7:AH8" si="60">V55</f>
        <v>898234</v>
      </c>
      <c r="AI7" s="42">
        <f t="shared" si="35"/>
        <v>0</v>
      </c>
      <c r="AJ7" s="43">
        <f t="shared" si="11"/>
        <v>6126082.2000000002</v>
      </c>
      <c r="AK7" s="44">
        <f t="shared" ref="AK7:AK8" si="61">AB7+AE7+AH7</f>
        <v>6120872.2000000002</v>
      </c>
      <c r="AL7" s="569">
        <f t="shared" si="36"/>
        <v>5210</v>
      </c>
      <c r="AM7" s="39">
        <f t="shared" si="12"/>
        <v>0</v>
      </c>
      <c r="AN7" s="37">
        <f t="shared" ref="AN7:AN8" si="62">AB55</f>
        <v>0</v>
      </c>
      <c r="AO7" s="38">
        <f t="shared" si="37"/>
        <v>0</v>
      </c>
      <c r="AP7" s="39">
        <f t="shared" si="13"/>
        <v>8208123.2000000002</v>
      </c>
      <c r="AQ7" s="37">
        <f t="shared" ref="AQ7:AQ8" si="63">AE55</f>
        <v>8202913.2000000002</v>
      </c>
      <c r="AR7" s="40">
        <f t="shared" si="38"/>
        <v>5210</v>
      </c>
      <c r="AS7" s="41">
        <f t="shared" si="14"/>
        <v>0</v>
      </c>
      <c r="AT7" s="37">
        <f t="shared" ref="AT7:AT8" si="64">AH55</f>
        <v>0</v>
      </c>
      <c r="AU7" s="42">
        <f t="shared" si="39"/>
        <v>0</v>
      </c>
      <c r="AV7" s="410">
        <f t="shared" si="15"/>
        <v>8208123.2000000002</v>
      </c>
      <c r="AW7" s="44">
        <f t="shared" ref="AW7:AW8" si="65">AN7+AQ7+AT7</f>
        <v>8202913.2000000002</v>
      </c>
      <c r="AX7" s="556">
        <f t="shared" si="40"/>
        <v>5210</v>
      </c>
      <c r="AY7" s="568">
        <f t="shared" ref="AY7:AY60" si="66">SUM(AZ7:BA7)</f>
        <v>0</v>
      </c>
      <c r="AZ7" s="37">
        <f t="shared" ref="AZ7:AZ8" si="67">AN55</f>
        <v>0</v>
      </c>
      <c r="BA7" s="38">
        <f t="shared" si="41"/>
        <v>0</v>
      </c>
      <c r="BB7" s="39">
        <f t="shared" si="17"/>
        <v>8559913.1999999993</v>
      </c>
      <c r="BC7" s="37">
        <f t="shared" ref="BC7:BC8" si="68">AQ55</f>
        <v>8545795.0099999998</v>
      </c>
      <c r="BD7" s="40">
        <f t="shared" si="42"/>
        <v>14118.19</v>
      </c>
      <c r="BE7" s="41">
        <f t="shared" si="18"/>
        <v>0</v>
      </c>
      <c r="BF7" s="37">
        <f t="shared" ref="BF7:BF8" si="69">AT55</f>
        <v>0</v>
      </c>
      <c r="BG7" s="42">
        <f t="shared" si="43"/>
        <v>0</v>
      </c>
      <c r="BH7" s="43">
        <f t="shared" si="19"/>
        <v>8559913.1999999993</v>
      </c>
      <c r="BI7" s="44">
        <f t="shared" ref="BI7:BI8" si="70">AZ7+BC7+BF7</f>
        <v>8545795.0099999998</v>
      </c>
      <c r="BJ7" s="569">
        <f t="shared" si="44"/>
        <v>14118.19</v>
      </c>
      <c r="BK7" s="568">
        <f t="shared" ref="BK7:BK60" si="71">SUM(BL7:BM7)</f>
        <v>0</v>
      </c>
      <c r="BL7" s="37">
        <f t="shared" ref="BL7:BL8" si="72">AZ55</f>
        <v>0</v>
      </c>
      <c r="BM7" s="38">
        <f t="shared" si="45"/>
        <v>0</v>
      </c>
      <c r="BN7" s="39">
        <f t="shared" si="21"/>
        <v>8559913.1999999993</v>
      </c>
      <c r="BO7" s="37">
        <f t="shared" ref="BO7:BO8" si="73">BC55</f>
        <v>8545795.0099999998</v>
      </c>
      <c r="BP7" s="40">
        <f t="shared" si="46"/>
        <v>14118.19</v>
      </c>
      <c r="BQ7" s="41">
        <f t="shared" si="22"/>
        <v>0</v>
      </c>
      <c r="BR7" s="37">
        <f t="shared" ref="BR7:BR8" si="74">BF55</f>
        <v>0</v>
      </c>
      <c r="BS7" s="42">
        <f t="shared" si="47"/>
        <v>0</v>
      </c>
      <c r="BT7" s="43">
        <f t="shared" si="23"/>
        <v>8559913.1999999993</v>
      </c>
      <c r="BU7" s="44">
        <f t="shared" ref="BU7:BU8" si="75">BL7+BO7+BR7</f>
        <v>8545795.0099999998</v>
      </c>
      <c r="BV7" s="569">
        <f t="shared" si="48"/>
        <v>14118.19</v>
      </c>
      <c r="BW7" s="568">
        <f t="shared" ref="BW7:BW11" si="76">SUM(BX7:BY7)</f>
        <v>0</v>
      </c>
      <c r="BX7" s="37">
        <f t="shared" ref="BX7:BX8" si="77">BL55</f>
        <v>0</v>
      </c>
      <c r="BY7" s="38">
        <f t="shared" si="49"/>
        <v>0</v>
      </c>
      <c r="BZ7" s="39">
        <f t="shared" si="25"/>
        <v>8559913.1999999993</v>
      </c>
      <c r="CA7" s="37">
        <f t="shared" ref="CA7:CA8" si="78">BO55</f>
        <v>8545795.0099999998</v>
      </c>
      <c r="CB7" s="40">
        <f t="shared" si="50"/>
        <v>14118.19</v>
      </c>
      <c r="CC7" s="41">
        <f t="shared" si="26"/>
        <v>0</v>
      </c>
      <c r="CD7" s="37">
        <f t="shared" ref="CD7:CD8" si="79">BR55</f>
        <v>0</v>
      </c>
      <c r="CE7" s="42">
        <f t="shared" si="51"/>
        <v>0</v>
      </c>
      <c r="CF7" s="43">
        <f t="shared" si="27"/>
        <v>8559913.1999999993</v>
      </c>
      <c r="CG7" s="44">
        <f t="shared" ref="CG7:CG8" si="80">BX7+CA7+CD7</f>
        <v>8545795.0099999998</v>
      </c>
      <c r="CH7" s="569">
        <f t="shared" si="52"/>
        <v>14118.19</v>
      </c>
    </row>
    <row r="8" spans="1:86" s="24" customFormat="1">
      <c r="A8" s="108" t="s">
        <v>271</v>
      </c>
      <c r="B8" s="46" t="s">
        <v>217</v>
      </c>
      <c r="C8" s="568">
        <f t="shared" si="0"/>
        <v>85987.199999999997</v>
      </c>
      <c r="D8" s="132">
        <f>85987.2-E8</f>
        <v>85973.237999999998</v>
      </c>
      <c r="E8" s="133">
        <f>537*2.6%</f>
        <v>13.962000000000002</v>
      </c>
      <c r="F8" s="39">
        <f t="shared" si="1"/>
        <v>2252807.48</v>
      </c>
      <c r="G8" s="132">
        <f>2246140.48-G6-1654</f>
        <v>2244486.48</v>
      </c>
      <c r="H8" s="133">
        <f>6667+1654</f>
        <v>8321</v>
      </c>
      <c r="I8" s="41">
        <f t="shared" si="2"/>
        <v>62905.140000000072</v>
      </c>
      <c r="J8" s="132">
        <v>62905.140000000072</v>
      </c>
      <c r="K8" s="133"/>
      <c r="L8" s="410">
        <f t="shared" si="3"/>
        <v>2401699.8199999998</v>
      </c>
      <c r="M8" s="44">
        <f t="shared" si="53"/>
        <v>2393364.858</v>
      </c>
      <c r="N8" s="569">
        <f t="shared" si="28"/>
        <v>8334.9619999999995</v>
      </c>
      <c r="O8" s="39">
        <f t="shared" si="4"/>
        <v>86577.2</v>
      </c>
      <c r="P8" s="37">
        <f t="shared" si="54"/>
        <v>86563.237999999998</v>
      </c>
      <c r="Q8" s="38">
        <f t="shared" si="29"/>
        <v>13.962000000000002</v>
      </c>
      <c r="R8" s="39">
        <f t="shared" si="5"/>
        <v>2263878.7799999998</v>
      </c>
      <c r="S8" s="37">
        <f t="shared" si="55"/>
        <v>2255557.7799999998</v>
      </c>
      <c r="T8" s="40">
        <f t="shared" si="30"/>
        <v>8321</v>
      </c>
      <c r="U8" s="41">
        <f t="shared" si="6"/>
        <v>279776.84000000008</v>
      </c>
      <c r="V8" s="37">
        <f t="shared" si="56"/>
        <v>279776.84000000008</v>
      </c>
      <c r="W8" s="42">
        <f t="shared" si="31"/>
        <v>0</v>
      </c>
      <c r="X8" s="43">
        <f t="shared" si="7"/>
        <v>2630232.8199999998</v>
      </c>
      <c r="Y8" s="44">
        <f t="shared" si="57"/>
        <v>2621897.858</v>
      </c>
      <c r="Z8" s="556">
        <f t="shared" si="32"/>
        <v>8334.9619999999995</v>
      </c>
      <c r="AA8" s="568">
        <f t="shared" si="8"/>
        <v>96647.2</v>
      </c>
      <c r="AB8" s="37">
        <f t="shared" si="58"/>
        <v>96633.237999999998</v>
      </c>
      <c r="AC8" s="38">
        <f t="shared" si="33"/>
        <v>13.962000000000002</v>
      </c>
      <c r="AD8" s="39">
        <f t="shared" si="9"/>
        <v>2928373.78</v>
      </c>
      <c r="AE8" s="37">
        <f t="shared" si="59"/>
        <v>2910822.78</v>
      </c>
      <c r="AF8" s="40">
        <f t="shared" si="34"/>
        <v>17551</v>
      </c>
      <c r="AG8" s="41">
        <f t="shared" si="10"/>
        <v>457221.84000000008</v>
      </c>
      <c r="AH8" s="37">
        <f t="shared" si="60"/>
        <v>457221.84000000008</v>
      </c>
      <c r="AI8" s="42">
        <f t="shared" si="35"/>
        <v>0</v>
      </c>
      <c r="AJ8" s="43">
        <f t="shared" si="11"/>
        <v>3482242.82</v>
      </c>
      <c r="AK8" s="44">
        <f t="shared" si="61"/>
        <v>3464677.858</v>
      </c>
      <c r="AL8" s="569">
        <f t="shared" si="36"/>
        <v>17564.962</v>
      </c>
      <c r="AM8" s="39">
        <f t="shared" si="12"/>
        <v>96817.2</v>
      </c>
      <c r="AN8" s="37">
        <f t="shared" si="62"/>
        <v>96803.237999999998</v>
      </c>
      <c r="AO8" s="38">
        <f t="shared" si="37"/>
        <v>13.962000000000002</v>
      </c>
      <c r="AP8" s="39">
        <f t="shared" si="13"/>
        <v>4753125.7799999993</v>
      </c>
      <c r="AQ8" s="37">
        <f t="shared" si="63"/>
        <v>4735574.7799999993</v>
      </c>
      <c r="AR8" s="40">
        <f t="shared" si="38"/>
        <v>17551</v>
      </c>
      <c r="AS8" s="41">
        <f t="shared" si="14"/>
        <v>633390.83999999985</v>
      </c>
      <c r="AT8" s="37">
        <f t="shared" si="64"/>
        <v>633390.83999999985</v>
      </c>
      <c r="AU8" s="42">
        <f t="shared" si="39"/>
        <v>0</v>
      </c>
      <c r="AV8" s="410">
        <f t="shared" si="15"/>
        <v>5483333.8199999994</v>
      </c>
      <c r="AW8" s="44">
        <f t="shared" si="65"/>
        <v>5465768.8579999991</v>
      </c>
      <c r="AX8" s="556">
        <f t="shared" si="40"/>
        <v>17564.962</v>
      </c>
      <c r="AY8" s="568">
        <f t="shared" si="66"/>
        <v>96817.2</v>
      </c>
      <c r="AZ8" s="37">
        <f t="shared" si="67"/>
        <v>96803.237999999998</v>
      </c>
      <c r="BA8" s="38">
        <f t="shared" si="41"/>
        <v>13.962000000000002</v>
      </c>
      <c r="BB8" s="39">
        <f t="shared" si="17"/>
        <v>5714579.7799999993</v>
      </c>
      <c r="BC8" s="37">
        <f t="shared" si="68"/>
        <v>5694200.2799999993</v>
      </c>
      <c r="BD8" s="40">
        <f t="shared" si="42"/>
        <v>20379.5</v>
      </c>
      <c r="BE8" s="41">
        <f t="shared" si="18"/>
        <v>1086579.8399999999</v>
      </c>
      <c r="BF8" s="37">
        <f t="shared" si="69"/>
        <v>1086579.8399999999</v>
      </c>
      <c r="BG8" s="42">
        <f t="shared" si="43"/>
        <v>0</v>
      </c>
      <c r="BH8" s="43">
        <f t="shared" si="19"/>
        <v>6897976.8199999994</v>
      </c>
      <c r="BI8" s="44">
        <f t="shared" si="70"/>
        <v>6877583.3579999991</v>
      </c>
      <c r="BJ8" s="569">
        <f t="shared" si="44"/>
        <v>20393.462</v>
      </c>
      <c r="BK8" s="568">
        <f t="shared" si="71"/>
        <v>96207.2</v>
      </c>
      <c r="BL8" s="37">
        <f t="shared" si="72"/>
        <v>96193.237999999998</v>
      </c>
      <c r="BM8" s="38">
        <f t="shared" si="45"/>
        <v>13.962000000000002</v>
      </c>
      <c r="BN8" s="39">
        <f t="shared" si="21"/>
        <v>5724734.7799999993</v>
      </c>
      <c r="BO8" s="37">
        <f t="shared" si="73"/>
        <v>5704355.2799999993</v>
      </c>
      <c r="BP8" s="40">
        <f t="shared" si="46"/>
        <v>20379.5</v>
      </c>
      <c r="BQ8" s="41">
        <f t="shared" si="22"/>
        <v>1622949.8399999999</v>
      </c>
      <c r="BR8" s="37">
        <f t="shared" si="74"/>
        <v>1622949.8399999999</v>
      </c>
      <c r="BS8" s="42">
        <f t="shared" si="47"/>
        <v>0</v>
      </c>
      <c r="BT8" s="43">
        <f t="shared" si="23"/>
        <v>7443891.8199999994</v>
      </c>
      <c r="BU8" s="44">
        <f t="shared" si="75"/>
        <v>7423498.3579999991</v>
      </c>
      <c r="BV8" s="569">
        <f t="shared" si="48"/>
        <v>20393.462</v>
      </c>
      <c r="BW8" s="568">
        <f t="shared" si="76"/>
        <v>96207.2</v>
      </c>
      <c r="BX8" s="37">
        <f t="shared" si="77"/>
        <v>96193.237999999998</v>
      </c>
      <c r="BY8" s="38">
        <f t="shared" si="49"/>
        <v>13.962000000000002</v>
      </c>
      <c r="BZ8" s="39">
        <f t="shared" si="25"/>
        <v>5727114.7799999993</v>
      </c>
      <c r="CA8" s="37">
        <f t="shared" si="78"/>
        <v>5706735.2799999993</v>
      </c>
      <c r="CB8" s="40">
        <f t="shared" si="50"/>
        <v>20379.5</v>
      </c>
      <c r="CC8" s="41">
        <f t="shared" si="26"/>
        <v>2118116.48</v>
      </c>
      <c r="CD8" s="37">
        <f t="shared" si="79"/>
        <v>2118116.48</v>
      </c>
      <c r="CE8" s="42">
        <f t="shared" si="51"/>
        <v>0</v>
      </c>
      <c r="CF8" s="43">
        <f t="shared" si="27"/>
        <v>7941438.46</v>
      </c>
      <c r="CG8" s="44">
        <f t="shared" si="80"/>
        <v>7921044.9979999997</v>
      </c>
      <c r="CH8" s="569">
        <f t="shared" si="52"/>
        <v>20393.462</v>
      </c>
    </row>
    <row r="9" spans="1:86" s="35" customFormat="1">
      <c r="A9" s="109">
        <f>A5+1</f>
        <v>2</v>
      </c>
      <c r="B9" s="47" t="s">
        <v>248</v>
      </c>
      <c r="C9" s="570">
        <f t="shared" si="0"/>
        <v>85987</v>
      </c>
      <c r="D9" s="48">
        <f>SUM(D10:D12)</f>
        <v>85973.038</v>
      </c>
      <c r="E9" s="49">
        <f>SUM(E10:E12)</f>
        <v>13.962000000000002</v>
      </c>
      <c r="F9" s="50">
        <f t="shared" si="1"/>
        <v>5555174.7400000002</v>
      </c>
      <c r="G9" s="48">
        <f>SUM(G10:G12)</f>
        <v>5548310.7400000002</v>
      </c>
      <c r="H9" s="51">
        <f>SUM(H10:H12)</f>
        <v>6864</v>
      </c>
      <c r="I9" s="52">
        <f t="shared" si="2"/>
        <v>62905.290000000037</v>
      </c>
      <c r="J9" s="48">
        <f>SUM(J10:J12)</f>
        <v>62905.290000000037</v>
      </c>
      <c r="K9" s="53">
        <f>SUM(K10:K12)</f>
        <v>0</v>
      </c>
      <c r="L9" s="411">
        <f t="shared" si="3"/>
        <v>5704067.0300000003</v>
      </c>
      <c r="M9" s="55">
        <f>SUM(M10:M12)</f>
        <v>5697189.068</v>
      </c>
      <c r="N9" s="571">
        <f>SUM(N10:N12)</f>
        <v>6877.9619999999995</v>
      </c>
      <c r="O9" s="50">
        <f t="shared" si="4"/>
        <v>86577</v>
      </c>
      <c r="P9" s="48">
        <f>SUM(P10:P12)</f>
        <v>86563.038</v>
      </c>
      <c r="Q9" s="49">
        <f>SUM(Q10:Q12)</f>
        <v>13.962000000000002</v>
      </c>
      <c r="R9" s="50">
        <f t="shared" si="5"/>
        <v>5396068.3399999999</v>
      </c>
      <c r="S9" s="48">
        <f>SUM(S10:S12)</f>
        <v>5389547.54</v>
      </c>
      <c r="T9" s="51">
        <f>SUM(T10:T12)</f>
        <v>6520.8</v>
      </c>
      <c r="U9" s="52">
        <f t="shared" si="6"/>
        <v>579450.99</v>
      </c>
      <c r="V9" s="48">
        <f>SUM(V10:V12)</f>
        <v>579450.99</v>
      </c>
      <c r="W9" s="53">
        <f>SUM(W10:W12)</f>
        <v>0</v>
      </c>
      <c r="X9" s="54">
        <f t="shared" si="7"/>
        <v>6062096.3300000001</v>
      </c>
      <c r="Y9" s="55">
        <f>SUM(Y10:Y12)</f>
        <v>6055561.568</v>
      </c>
      <c r="Z9" s="557">
        <f>SUM(Z10:Z12)</f>
        <v>6534.7620000000006</v>
      </c>
      <c r="AA9" s="570">
        <f t="shared" si="8"/>
        <v>96647</v>
      </c>
      <c r="AB9" s="48">
        <f>SUM(AB10:AB12)</f>
        <v>96633.038</v>
      </c>
      <c r="AC9" s="49">
        <f>SUM(AC10:AC12)</f>
        <v>13.962000000000002</v>
      </c>
      <c r="AD9" s="50">
        <f t="shared" si="9"/>
        <v>6221732.3399999999</v>
      </c>
      <c r="AE9" s="48">
        <f>SUM(AE10:AE12)</f>
        <v>6200054.7400000002</v>
      </c>
      <c r="AF9" s="51">
        <f>SUM(AF10:AF12)</f>
        <v>21677.600000000002</v>
      </c>
      <c r="AG9" s="52">
        <f t="shared" si="10"/>
        <v>1355455.99</v>
      </c>
      <c r="AH9" s="48">
        <f>SUM(AH10:AH12)</f>
        <v>1355455.99</v>
      </c>
      <c r="AI9" s="53">
        <f>SUM(AI10:AI12)</f>
        <v>0</v>
      </c>
      <c r="AJ9" s="54">
        <f t="shared" si="11"/>
        <v>7673835.330000001</v>
      </c>
      <c r="AK9" s="55">
        <f>SUM(AK10:AK12)</f>
        <v>7652143.7680000011</v>
      </c>
      <c r="AL9" s="571">
        <f>SUM(AL10:AL12)</f>
        <v>21691.562000000002</v>
      </c>
      <c r="AM9" s="50">
        <f t="shared" si="12"/>
        <v>96817</v>
      </c>
      <c r="AN9" s="48">
        <f>SUM(AN10:AN12)</f>
        <v>96803.038</v>
      </c>
      <c r="AO9" s="49">
        <f>SUM(AO10:AO12)</f>
        <v>13.962000000000002</v>
      </c>
      <c r="AP9" s="50">
        <f t="shared" si="13"/>
        <v>10756822.340000002</v>
      </c>
      <c r="AQ9" s="48">
        <f>SUM(AQ10:AQ12)</f>
        <v>10737077.940000001</v>
      </c>
      <c r="AR9" s="51">
        <f>SUM(AR10:AR12)</f>
        <v>19744.400000000001</v>
      </c>
      <c r="AS9" s="52">
        <f t="shared" si="14"/>
        <v>633390.99000000022</v>
      </c>
      <c r="AT9" s="48">
        <f>SUM(AT10:AT12)</f>
        <v>633390.99000000022</v>
      </c>
      <c r="AU9" s="53">
        <f>SUM(AU10:AU12)</f>
        <v>0</v>
      </c>
      <c r="AV9" s="411">
        <f t="shared" si="15"/>
        <v>11487030.330000002</v>
      </c>
      <c r="AW9" s="55">
        <f>SUM(AW10:AW12)</f>
        <v>11467271.968000002</v>
      </c>
      <c r="AX9" s="557">
        <f>SUM(AX10:AX12)</f>
        <v>19758.362000000001</v>
      </c>
      <c r="AY9" s="570">
        <f t="shared" si="66"/>
        <v>96817</v>
      </c>
      <c r="AZ9" s="48">
        <f>SUM(AZ10:AZ12)</f>
        <v>96803.038</v>
      </c>
      <c r="BA9" s="49">
        <f>SUM(BA10:BA12)</f>
        <v>13.962000000000002</v>
      </c>
      <c r="BB9" s="50">
        <f t="shared" si="17"/>
        <v>11659011.34</v>
      </c>
      <c r="BC9" s="48">
        <f>SUM(BC10:BC12)</f>
        <v>11629463.449999999</v>
      </c>
      <c r="BD9" s="51">
        <f>SUM(BD10:BD12)</f>
        <v>29547.890000000007</v>
      </c>
      <c r="BE9" s="52">
        <f t="shared" si="18"/>
        <v>1086579.9900000002</v>
      </c>
      <c r="BF9" s="48">
        <f>SUM(BF10:BF12)</f>
        <v>1086579.9900000002</v>
      </c>
      <c r="BG9" s="53">
        <f>SUM(BG10:BG12)</f>
        <v>0</v>
      </c>
      <c r="BH9" s="54">
        <f t="shared" si="19"/>
        <v>12842408.33</v>
      </c>
      <c r="BI9" s="55">
        <f>SUM(BI10:BI12)</f>
        <v>12812846.478</v>
      </c>
      <c r="BJ9" s="571">
        <f>SUM(BJ10:BJ12)</f>
        <v>29561.852000000006</v>
      </c>
      <c r="BK9" s="570">
        <f t="shared" si="71"/>
        <v>96207</v>
      </c>
      <c r="BL9" s="48">
        <f>SUM(BL10:BL12)</f>
        <v>96193.038</v>
      </c>
      <c r="BM9" s="49">
        <f>SUM(BM10:BM12)</f>
        <v>13.962000000000002</v>
      </c>
      <c r="BN9" s="50">
        <f t="shared" si="21"/>
        <v>11362177.34</v>
      </c>
      <c r="BO9" s="48">
        <f>SUM(BO10:BO12)</f>
        <v>11334963.91</v>
      </c>
      <c r="BP9" s="51">
        <f>SUM(BP10:BP12)</f>
        <v>27213.430000000008</v>
      </c>
      <c r="BQ9" s="52">
        <f t="shared" si="22"/>
        <v>1622949.9900000002</v>
      </c>
      <c r="BR9" s="48">
        <f>SUM(BR10:BR12)</f>
        <v>1622949.9900000002</v>
      </c>
      <c r="BS9" s="53">
        <f>SUM(BS10:BS12)</f>
        <v>0</v>
      </c>
      <c r="BT9" s="54">
        <f t="shared" si="23"/>
        <v>13081334.330000002</v>
      </c>
      <c r="BU9" s="55">
        <f>SUM(BU10:BU12)</f>
        <v>13054106.938000001</v>
      </c>
      <c r="BV9" s="571">
        <f>SUM(BV10:BV12)</f>
        <v>27227.392000000007</v>
      </c>
      <c r="BW9" s="570">
        <f t="shared" si="76"/>
        <v>96207</v>
      </c>
      <c r="BX9" s="48">
        <f>SUM(BX10:BX12)</f>
        <v>96193.038</v>
      </c>
      <c r="BY9" s="49">
        <f>SUM(BY10:BY12)</f>
        <v>13.962000000000002</v>
      </c>
      <c r="BZ9" s="50">
        <f t="shared" si="25"/>
        <v>10937706.58</v>
      </c>
      <c r="CA9" s="48">
        <f>SUM(CA10:CA12)</f>
        <v>10912827.609999999</v>
      </c>
      <c r="CB9" s="51">
        <f>SUM(CB10:CB12)</f>
        <v>24878.970000000008</v>
      </c>
      <c r="CC9" s="52">
        <f t="shared" si="26"/>
        <v>2118116.6300000004</v>
      </c>
      <c r="CD9" s="48">
        <f>SUM(CD10:CD12)</f>
        <v>2118116.6300000004</v>
      </c>
      <c r="CE9" s="53">
        <f>SUM(CE10:CE12)</f>
        <v>0</v>
      </c>
      <c r="CF9" s="54">
        <f t="shared" si="27"/>
        <v>13152030.210000001</v>
      </c>
      <c r="CG9" s="55">
        <f>SUM(CG10:CG12)</f>
        <v>13127137.278000001</v>
      </c>
      <c r="CH9" s="571">
        <f>SUM(CH10:CH12)</f>
        <v>24892.932000000008</v>
      </c>
    </row>
    <row r="10" spans="1:86" s="24" customFormat="1">
      <c r="A10" s="108" t="s">
        <v>272</v>
      </c>
      <c r="B10" s="36" t="s">
        <v>218</v>
      </c>
      <c r="C10" s="568">
        <f t="shared" si="0"/>
        <v>0</v>
      </c>
      <c r="D10" s="132"/>
      <c r="E10" s="133"/>
      <c r="F10" s="39">
        <f t="shared" si="1"/>
        <v>0</v>
      </c>
      <c r="G10" s="132">
        <f>ROUND(G6*G12/G8,0)</f>
        <v>0</v>
      </c>
      <c r="H10" s="133"/>
      <c r="I10" s="41">
        <f t="shared" si="2"/>
        <v>0</v>
      </c>
      <c r="J10" s="132"/>
      <c r="K10" s="133"/>
      <c r="L10" s="410">
        <f t="shared" si="3"/>
        <v>0</v>
      </c>
      <c r="M10" s="44">
        <f>D10+G10+J10</f>
        <v>0</v>
      </c>
      <c r="N10" s="569">
        <f t="shared" ref="N10:N11" si="81">E10+H10+K10</f>
        <v>0</v>
      </c>
      <c r="O10" s="39">
        <f t="shared" si="4"/>
        <v>0</v>
      </c>
      <c r="P10" s="37">
        <f>D58</f>
        <v>0</v>
      </c>
      <c r="Q10" s="38">
        <f t="shared" ref="Q10:Q11" si="82">E58</f>
        <v>0</v>
      </c>
      <c r="R10" s="39">
        <f t="shared" si="5"/>
        <v>0</v>
      </c>
      <c r="S10" s="37">
        <f>G58</f>
        <v>0</v>
      </c>
      <c r="T10" s="40">
        <f t="shared" ref="T10:T11" si="83">H58</f>
        <v>0</v>
      </c>
      <c r="U10" s="41">
        <f t="shared" si="6"/>
        <v>0</v>
      </c>
      <c r="V10" s="37">
        <f>J58</f>
        <v>0</v>
      </c>
      <c r="W10" s="42">
        <f t="shared" ref="W10:W11" si="84">K58</f>
        <v>0</v>
      </c>
      <c r="X10" s="43">
        <f t="shared" si="7"/>
        <v>0</v>
      </c>
      <c r="Y10" s="44">
        <f>P10+S10+V10</f>
        <v>0</v>
      </c>
      <c r="Z10" s="556">
        <f t="shared" ref="Z10:Z11" si="85">Q10+T10+W10</f>
        <v>0</v>
      </c>
      <c r="AA10" s="568">
        <f t="shared" si="8"/>
        <v>0</v>
      </c>
      <c r="AB10" s="37">
        <f>P58</f>
        <v>0</v>
      </c>
      <c r="AC10" s="38">
        <f t="shared" ref="AC10:AC11" si="86">Q58</f>
        <v>0</v>
      </c>
      <c r="AD10" s="39">
        <f t="shared" si="9"/>
        <v>0</v>
      </c>
      <c r="AE10" s="37">
        <f>S58</f>
        <v>0</v>
      </c>
      <c r="AF10" s="40">
        <f t="shared" ref="AF10:AF11" si="87">T58</f>
        <v>0</v>
      </c>
      <c r="AG10" s="41">
        <f t="shared" si="10"/>
        <v>0</v>
      </c>
      <c r="AH10" s="37">
        <f>V58</f>
        <v>0</v>
      </c>
      <c r="AI10" s="42">
        <f t="shared" ref="AI10:AI11" si="88">W58</f>
        <v>0</v>
      </c>
      <c r="AJ10" s="43">
        <f t="shared" si="11"/>
        <v>0</v>
      </c>
      <c r="AK10" s="44">
        <f>AB10+AE10+AH10</f>
        <v>0</v>
      </c>
      <c r="AL10" s="569">
        <f t="shared" ref="AL10:AL11" si="89">AC10+AF10+AI10</f>
        <v>0</v>
      </c>
      <c r="AM10" s="39">
        <f t="shared" si="12"/>
        <v>0</v>
      </c>
      <c r="AN10" s="37">
        <f>AB58</f>
        <v>0</v>
      </c>
      <c r="AO10" s="38">
        <f t="shared" ref="AO10:AO11" si="90">AC58</f>
        <v>0</v>
      </c>
      <c r="AP10" s="39">
        <f t="shared" si="13"/>
        <v>0</v>
      </c>
      <c r="AQ10" s="37">
        <f>AE58</f>
        <v>0</v>
      </c>
      <c r="AR10" s="40">
        <f t="shared" ref="AR10:AR11" si="91">AF58</f>
        <v>0</v>
      </c>
      <c r="AS10" s="41">
        <f t="shared" si="14"/>
        <v>0</v>
      </c>
      <c r="AT10" s="37">
        <f>AH58</f>
        <v>0</v>
      </c>
      <c r="AU10" s="42">
        <f t="shared" ref="AU10:AU11" si="92">AI58</f>
        <v>0</v>
      </c>
      <c r="AV10" s="410">
        <f t="shared" si="15"/>
        <v>0</v>
      </c>
      <c r="AW10" s="44">
        <f>AN10+AQ10+AT10</f>
        <v>0</v>
      </c>
      <c r="AX10" s="556">
        <f t="shared" ref="AX10:AX11" si="93">AO10+AR10+AU10</f>
        <v>0</v>
      </c>
      <c r="AY10" s="568">
        <f t="shared" si="66"/>
        <v>0</v>
      </c>
      <c r="AZ10" s="37">
        <f>AN58</f>
        <v>0</v>
      </c>
      <c r="BA10" s="38">
        <f t="shared" ref="BA10:BA11" si="94">AO58</f>
        <v>0</v>
      </c>
      <c r="BB10" s="39">
        <f t="shared" si="17"/>
        <v>0</v>
      </c>
      <c r="BC10" s="37">
        <f>AQ58</f>
        <v>0</v>
      </c>
      <c r="BD10" s="40">
        <f t="shared" ref="BD10:BD11" si="95">AR58</f>
        <v>0</v>
      </c>
      <c r="BE10" s="41">
        <f t="shared" si="18"/>
        <v>0</v>
      </c>
      <c r="BF10" s="37">
        <f>AT58</f>
        <v>0</v>
      </c>
      <c r="BG10" s="42">
        <f t="shared" ref="BG10:BG11" si="96">AU58</f>
        <v>0</v>
      </c>
      <c r="BH10" s="43">
        <f t="shared" si="19"/>
        <v>0</v>
      </c>
      <c r="BI10" s="44">
        <f>AZ10+BC10+BF10</f>
        <v>0</v>
      </c>
      <c r="BJ10" s="569">
        <f t="shared" ref="BJ10:BJ11" si="97">BA10+BD10+BG10</f>
        <v>0</v>
      </c>
      <c r="BK10" s="568">
        <f t="shared" si="71"/>
        <v>0</v>
      </c>
      <c r="BL10" s="37">
        <f>AZ58</f>
        <v>0</v>
      </c>
      <c r="BM10" s="38">
        <f t="shared" ref="BM10:BM11" si="98">BA58</f>
        <v>0</v>
      </c>
      <c r="BN10" s="39">
        <f t="shared" si="21"/>
        <v>0</v>
      </c>
      <c r="BO10" s="37">
        <f>BC58</f>
        <v>0</v>
      </c>
      <c r="BP10" s="40">
        <f t="shared" ref="BP10:BP11" si="99">BD58</f>
        <v>0</v>
      </c>
      <c r="BQ10" s="41">
        <f t="shared" si="22"/>
        <v>0</v>
      </c>
      <c r="BR10" s="37">
        <f>BF58</f>
        <v>0</v>
      </c>
      <c r="BS10" s="42">
        <f t="shared" ref="BS10:BS11" si="100">BG58</f>
        <v>0</v>
      </c>
      <c r="BT10" s="43">
        <f t="shared" si="23"/>
        <v>0</v>
      </c>
      <c r="BU10" s="44">
        <f>BL10+BO10+BR10</f>
        <v>0</v>
      </c>
      <c r="BV10" s="569">
        <f t="shared" ref="BV10:BV11" si="101">BM10+BP10+BS10</f>
        <v>0</v>
      </c>
      <c r="BW10" s="568">
        <f t="shared" si="76"/>
        <v>0</v>
      </c>
      <c r="BX10" s="37">
        <f>BL58</f>
        <v>0</v>
      </c>
      <c r="BY10" s="38">
        <f t="shared" ref="BY10:BY11" si="102">BM58</f>
        <v>0</v>
      </c>
      <c r="BZ10" s="39">
        <f t="shared" si="25"/>
        <v>0</v>
      </c>
      <c r="CA10" s="37">
        <f>BO58</f>
        <v>0</v>
      </c>
      <c r="CB10" s="40">
        <f t="shared" ref="CB10:CB11" si="103">BP58</f>
        <v>0</v>
      </c>
      <c r="CC10" s="41">
        <f t="shared" si="26"/>
        <v>0</v>
      </c>
      <c r="CD10" s="37">
        <f>BR58</f>
        <v>0</v>
      </c>
      <c r="CE10" s="42">
        <f t="shared" ref="CE10:CE11" si="104">BS58</f>
        <v>0</v>
      </c>
      <c r="CF10" s="43">
        <f t="shared" si="27"/>
        <v>0</v>
      </c>
      <c r="CG10" s="44">
        <f>BX10+CA10+CD10</f>
        <v>0</v>
      </c>
      <c r="CH10" s="569">
        <f t="shared" ref="CH10:CH11" si="105">BY10+CB10+CE10</f>
        <v>0</v>
      </c>
    </row>
    <row r="11" spans="1:86" s="24" customFormat="1">
      <c r="A11" s="108" t="s">
        <v>273</v>
      </c>
      <c r="B11" s="45" t="s">
        <v>216</v>
      </c>
      <c r="C11" s="568">
        <f t="shared" si="0"/>
        <v>0</v>
      </c>
      <c r="D11" s="132"/>
      <c r="E11" s="133"/>
      <c r="F11" s="39">
        <f t="shared" si="1"/>
        <v>4066168.51</v>
      </c>
      <c r="G11" s="132">
        <f>4066168.51-H11</f>
        <v>4060958.51</v>
      </c>
      <c r="H11" s="133">
        <f>5210</f>
        <v>5210</v>
      </c>
      <c r="I11" s="41">
        <f t="shared" si="2"/>
        <v>0.20000000001164153</v>
      </c>
      <c r="J11" s="421">
        <v>0.20000000001164153</v>
      </c>
      <c r="K11" s="133"/>
      <c r="L11" s="410">
        <f t="shared" si="3"/>
        <v>4066168.71</v>
      </c>
      <c r="M11" s="44">
        <f t="shared" ref="M11" si="106">D11+G11+J11</f>
        <v>4060958.71</v>
      </c>
      <c r="N11" s="569">
        <f t="shared" si="81"/>
        <v>5210</v>
      </c>
      <c r="O11" s="39">
        <f t="shared" si="4"/>
        <v>0</v>
      </c>
      <c r="P11" s="37">
        <f t="shared" ref="P11" si="107">D59</f>
        <v>0</v>
      </c>
      <c r="Q11" s="38">
        <f t="shared" si="82"/>
        <v>0</v>
      </c>
      <c r="R11" s="39">
        <f t="shared" si="5"/>
        <v>3945000.4299999997</v>
      </c>
      <c r="S11" s="37">
        <f t="shared" ref="S11" si="108">G59</f>
        <v>3940050.92</v>
      </c>
      <c r="T11" s="40">
        <f t="shared" si="83"/>
        <v>4949.51</v>
      </c>
      <c r="U11" s="41">
        <f t="shared" si="6"/>
        <v>299674.2</v>
      </c>
      <c r="V11" s="37">
        <f t="shared" ref="V11" si="109">J59</f>
        <v>299674.2</v>
      </c>
      <c r="W11" s="42">
        <f t="shared" si="84"/>
        <v>0</v>
      </c>
      <c r="X11" s="43">
        <f t="shared" si="7"/>
        <v>4244674.63</v>
      </c>
      <c r="Y11" s="44">
        <f t="shared" ref="Y11" si="110">P11+S11+V11</f>
        <v>4239725.12</v>
      </c>
      <c r="Z11" s="556">
        <f t="shared" si="85"/>
        <v>4949.51</v>
      </c>
      <c r="AA11" s="568">
        <f t="shared" si="8"/>
        <v>0</v>
      </c>
      <c r="AB11" s="37">
        <f t="shared" ref="AB11" si="111">P59</f>
        <v>0</v>
      </c>
      <c r="AC11" s="38">
        <f t="shared" si="86"/>
        <v>0</v>
      </c>
      <c r="AD11" s="39">
        <f t="shared" si="9"/>
        <v>4174754.43</v>
      </c>
      <c r="AE11" s="37">
        <f t="shared" ref="AE11" si="112">S59</f>
        <v>4170065.41</v>
      </c>
      <c r="AF11" s="40">
        <f t="shared" si="87"/>
        <v>4689.0200000000004</v>
      </c>
      <c r="AG11" s="41">
        <f t="shared" si="10"/>
        <v>898234.2</v>
      </c>
      <c r="AH11" s="37">
        <f t="shared" ref="AH11" si="113">V59</f>
        <v>898234.2</v>
      </c>
      <c r="AI11" s="42">
        <f t="shared" si="88"/>
        <v>0</v>
      </c>
      <c r="AJ11" s="43">
        <f t="shared" si="11"/>
        <v>5072988.63</v>
      </c>
      <c r="AK11" s="44">
        <f t="shared" ref="AK11" si="114">AB11+AE11+AH11</f>
        <v>5068299.6100000003</v>
      </c>
      <c r="AL11" s="569">
        <f t="shared" si="89"/>
        <v>4689.0200000000004</v>
      </c>
      <c r="AM11" s="39">
        <f t="shared" si="12"/>
        <v>0</v>
      </c>
      <c r="AN11" s="37">
        <f t="shared" ref="AN11" si="115">AB59</f>
        <v>0</v>
      </c>
      <c r="AO11" s="38">
        <f t="shared" si="90"/>
        <v>0</v>
      </c>
      <c r="AP11" s="39">
        <f t="shared" si="13"/>
        <v>6978880.4300000006</v>
      </c>
      <c r="AQ11" s="37">
        <f t="shared" ref="AQ11" si="116">AE59</f>
        <v>6974451.9000000004</v>
      </c>
      <c r="AR11" s="40">
        <f t="shared" si="91"/>
        <v>4428.5300000000007</v>
      </c>
      <c r="AS11" s="41">
        <f t="shared" si="14"/>
        <v>0.20000000018626451</v>
      </c>
      <c r="AT11" s="37">
        <f t="shared" ref="AT11" si="117">AH59</f>
        <v>0.20000000018626451</v>
      </c>
      <c r="AU11" s="42">
        <f t="shared" si="92"/>
        <v>0</v>
      </c>
      <c r="AV11" s="410">
        <f t="shared" si="15"/>
        <v>6978880.6300000008</v>
      </c>
      <c r="AW11" s="44">
        <f t="shared" ref="AW11" si="118">AN11+AQ11+AT11</f>
        <v>6974452.1000000006</v>
      </c>
      <c r="AX11" s="556">
        <f t="shared" si="93"/>
        <v>4428.5300000000007</v>
      </c>
      <c r="AY11" s="568">
        <f t="shared" si="66"/>
        <v>0</v>
      </c>
      <c r="AZ11" s="37">
        <f t="shared" ref="AZ11" si="119">AN59</f>
        <v>0</v>
      </c>
      <c r="BA11" s="38">
        <f t="shared" si="94"/>
        <v>0</v>
      </c>
      <c r="BB11" s="39">
        <f t="shared" si="17"/>
        <v>7074022.4300000006</v>
      </c>
      <c r="BC11" s="37">
        <f t="shared" ref="BC11" si="120">AQ59</f>
        <v>7060946.2000000002</v>
      </c>
      <c r="BD11" s="40">
        <f t="shared" si="95"/>
        <v>13076.230000000001</v>
      </c>
      <c r="BE11" s="41">
        <f t="shared" si="18"/>
        <v>0.20000000018626451</v>
      </c>
      <c r="BF11" s="37">
        <f t="shared" ref="BF11" si="121">AT59</f>
        <v>0.20000000018626451</v>
      </c>
      <c r="BG11" s="42">
        <f t="shared" si="96"/>
        <v>0</v>
      </c>
      <c r="BH11" s="43">
        <f t="shared" si="19"/>
        <v>7074022.6300000008</v>
      </c>
      <c r="BI11" s="44">
        <f t="shared" ref="BI11" si="122">AZ11+BC11+BF11</f>
        <v>7060946.4000000004</v>
      </c>
      <c r="BJ11" s="569">
        <f t="shared" si="97"/>
        <v>13076.230000000001</v>
      </c>
      <c r="BK11" s="568">
        <f t="shared" si="71"/>
        <v>0</v>
      </c>
      <c r="BL11" s="37">
        <f t="shared" ref="BL11" si="123">AZ59</f>
        <v>0</v>
      </c>
      <c r="BM11" s="38">
        <f t="shared" si="98"/>
        <v>0</v>
      </c>
      <c r="BN11" s="39">
        <f t="shared" si="21"/>
        <v>6814172.4299999997</v>
      </c>
      <c r="BO11" s="37">
        <f t="shared" ref="BO11" si="124">BC59</f>
        <v>6801661.25</v>
      </c>
      <c r="BP11" s="40">
        <f t="shared" si="99"/>
        <v>12511.180000000002</v>
      </c>
      <c r="BQ11" s="41">
        <f t="shared" si="22"/>
        <v>0.20000000018626451</v>
      </c>
      <c r="BR11" s="37">
        <f t="shared" ref="BR11" si="125">BF59</f>
        <v>0.20000000018626451</v>
      </c>
      <c r="BS11" s="42">
        <f t="shared" si="100"/>
        <v>0</v>
      </c>
      <c r="BT11" s="43">
        <f t="shared" si="23"/>
        <v>6814172.6299999999</v>
      </c>
      <c r="BU11" s="44">
        <f t="shared" ref="BU11" si="126">BL11+BO11+BR11</f>
        <v>6801661.4500000002</v>
      </c>
      <c r="BV11" s="569">
        <f t="shared" si="101"/>
        <v>12511.180000000002</v>
      </c>
      <c r="BW11" s="568">
        <f t="shared" si="76"/>
        <v>0</v>
      </c>
      <c r="BX11" s="37">
        <f t="shared" ref="BX11" si="127">BL59</f>
        <v>0</v>
      </c>
      <c r="BY11" s="38">
        <f t="shared" si="102"/>
        <v>0</v>
      </c>
      <c r="BZ11" s="39">
        <f t="shared" si="25"/>
        <v>6554322.4299999997</v>
      </c>
      <c r="CA11" s="37">
        <f t="shared" ref="CA11" si="128">BO59</f>
        <v>6542376.2999999998</v>
      </c>
      <c r="CB11" s="40">
        <f t="shared" si="103"/>
        <v>11946.130000000003</v>
      </c>
      <c r="CC11" s="41">
        <f t="shared" si="26"/>
        <v>0.20000000018626451</v>
      </c>
      <c r="CD11" s="37">
        <f t="shared" ref="CD11" si="129">BR59</f>
        <v>0.20000000018626451</v>
      </c>
      <c r="CE11" s="42">
        <f t="shared" si="104"/>
        <v>0</v>
      </c>
      <c r="CF11" s="43">
        <f t="shared" si="27"/>
        <v>6554322.6299999999</v>
      </c>
      <c r="CG11" s="44">
        <f t="shared" ref="CG11" si="130">BX11+CA11+CD11</f>
        <v>6542376.5</v>
      </c>
      <c r="CH11" s="569">
        <f t="shared" si="105"/>
        <v>11946.130000000003</v>
      </c>
    </row>
    <row r="12" spans="1:86" s="24" customFormat="1" ht="14.4" thickBot="1">
      <c r="A12" s="110" t="s">
        <v>274</v>
      </c>
      <c r="B12" s="56" t="s">
        <v>217</v>
      </c>
      <c r="C12" s="572">
        <f>SUM(D12:E12)</f>
        <v>85987</v>
      </c>
      <c r="D12" s="134">
        <f>85987-E12</f>
        <v>85973.038</v>
      </c>
      <c r="E12" s="135">
        <f>537*2.6%</f>
        <v>13.962000000000002</v>
      </c>
      <c r="F12" s="59">
        <f>SUM(G12:H12)</f>
        <v>1489006.23</v>
      </c>
      <c r="G12" s="134">
        <f>1489006.23-H12</f>
        <v>1487352.23</v>
      </c>
      <c r="H12" s="135">
        <f>1654</f>
        <v>1654</v>
      </c>
      <c r="I12" s="61">
        <f>SUM(J12:K12)</f>
        <v>62905.090000000026</v>
      </c>
      <c r="J12" s="134">
        <v>62905.090000000026</v>
      </c>
      <c r="K12" s="135"/>
      <c r="L12" s="412">
        <f>SUM(M12:N12)</f>
        <v>1637898.32</v>
      </c>
      <c r="M12" s="64">
        <f>D12+G12+J12</f>
        <v>1636230.358</v>
      </c>
      <c r="N12" s="573">
        <f>E12+H12+K12</f>
        <v>1667.962</v>
      </c>
      <c r="O12" s="59">
        <f>SUM(P12:Q12)</f>
        <v>86577</v>
      </c>
      <c r="P12" s="57">
        <f>D60</f>
        <v>86563.038</v>
      </c>
      <c r="Q12" s="58">
        <f>E60</f>
        <v>13.962000000000002</v>
      </c>
      <c r="R12" s="59">
        <f>SUM(S12:T12)</f>
        <v>1451067.9100000001</v>
      </c>
      <c r="S12" s="57">
        <f>G60</f>
        <v>1449496.62</v>
      </c>
      <c r="T12" s="60">
        <f>H60</f>
        <v>1571.29</v>
      </c>
      <c r="U12" s="61">
        <f>SUM(V12:W12)</f>
        <v>279776.79000000004</v>
      </c>
      <c r="V12" s="57">
        <f>J60</f>
        <v>279776.79000000004</v>
      </c>
      <c r="W12" s="62">
        <f>K60</f>
        <v>0</v>
      </c>
      <c r="X12" s="63">
        <f>SUM(Y12:Z12)</f>
        <v>1817421.7000000002</v>
      </c>
      <c r="Y12" s="64">
        <f>P12+S12+V12</f>
        <v>1815836.4480000001</v>
      </c>
      <c r="Z12" s="558">
        <f>Q12+T12+W12</f>
        <v>1585.252</v>
      </c>
      <c r="AA12" s="572">
        <f>SUM(AB12:AC12)</f>
        <v>96647</v>
      </c>
      <c r="AB12" s="57">
        <f>P60</f>
        <v>96633.038</v>
      </c>
      <c r="AC12" s="58">
        <f>Q60</f>
        <v>13.962000000000002</v>
      </c>
      <c r="AD12" s="59">
        <f>SUM(AE12:AF12)</f>
        <v>2046977.9100000001</v>
      </c>
      <c r="AE12" s="57">
        <f>S60</f>
        <v>2029989.33</v>
      </c>
      <c r="AF12" s="60">
        <f>T60</f>
        <v>16988.580000000002</v>
      </c>
      <c r="AG12" s="61">
        <f>SUM(AH12:AI12)</f>
        <v>457221.79000000004</v>
      </c>
      <c r="AH12" s="57">
        <f>V60</f>
        <v>457221.79000000004</v>
      </c>
      <c r="AI12" s="62">
        <f>W60</f>
        <v>0</v>
      </c>
      <c r="AJ12" s="63">
        <f>SUM(AK12:AL12)</f>
        <v>2600846.7000000002</v>
      </c>
      <c r="AK12" s="64">
        <f>AB12+AE12+AH12</f>
        <v>2583844.1580000003</v>
      </c>
      <c r="AL12" s="573">
        <f>AC12+AF12+AI12</f>
        <v>17002.542000000001</v>
      </c>
      <c r="AM12" s="59">
        <f>SUM(AN12:AO12)</f>
        <v>96817</v>
      </c>
      <c r="AN12" s="57">
        <f>AB60</f>
        <v>96803.038</v>
      </c>
      <c r="AO12" s="58">
        <f>AC60</f>
        <v>13.962000000000002</v>
      </c>
      <c r="AP12" s="59">
        <f>SUM(AQ12:AR12)</f>
        <v>3777941.91</v>
      </c>
      <c r="AQ12" s="57">
        <f>AE60</f>
        <v>3762626.04</v>
      </c>
      <c r="AR12" s="60">
        <f>AF60</f>
        <v>15315.870000000003</v>
      </c>
      <c r="AS12" s="61">
        <f>SUM(AT12:AU12)</f>
        <v>633390.79</v>
      </c>
      <c r="AT12" s="57">
        <f>AH60</f>
        <v>633390.79</v>
      </c>
      <c r="AU12" s="62">
        <f>AI60</f>
        <v>0</v>
      </c>
      <c r="AV12" s="412">
        <f>SUM(AW12:AX12)</f>
        <v>4508149.7000000011</v>
      </c>
      <c r="AW12" s="64">
        <f>AN12+AQ12+AT12</f>
        <v>4492819.8680000007</v>
      </c>
      <c r="AX12" s="558">
        <f>AO12+AR12+AU12</f>
        <v>15329.832000000002</v>
      </c>
      <c r="AY12" s="572">
        <f>SUM(AZ12:BA12)</f>
        <v>96817</v>
      </c>
      <c r="AZ12" s="57">
        <f>AN60</f>
        <v>96803.038</v>
      </c>
      <c r="BA12" s="58">
        <f>AO60</f>
        <v>13.962000000000002</v>
      </c>
      <c r="BB12" s="59">
        <f>SUM(BC12:BD12)</f>
        <v>4584988.91</v>
      </c>
      <c r="BC12" s="57">
        <f>AQ60</f>
        <v>4568517.25</v>
      </c>
      <c r="BD12" s="60">
        <f>AR60</f>
        <v>16471.660000000003</v>
      </c>
      <c r="BE12" s="61">
        <f>SUM(BF12:BG12)</f>
        <v>1086579.79</v>
      </c>
      <c r="BF12" s="57">
        <f>AT60</f>
        <v>1086579.79</v>
      </c>
      <c r="BG12" s="62">
        <f>AU60</f>
        <v>0</v>
      </c>
      <c r="BH12" s="63">
        <f>SUM(BI12:BJ12)</f>
        <v>5768385.7000000002</v>
      </c>
      <c r="BI12" s="64">
        <f>AZ12+BC12+BF12</f>
        <v>5751900.0779999997</v>
      </c>
      <c r="BJ12" s="573">
        <f>BA12+BD12+BG12</f>
        <v>16485.622000000003</v>
      </c>
      <c r="BK12" s="572">
        <f>SUM(BL12:BM12)</f>
        <v>96207</v>
      </c>
      <c r="BL12" s="57">
        <f>AZ60</f>
        <v>96193.038</v>
      </c>
      <c r="BM12" s="58">
        <f>BA60</f>
        <v>13.962000000000002</v>
      </c>
      <c r="BN12" s="59">
        <f>SUM(BO12:BP12)</f>
        <v>4548004.91</v>
      </c>
      <c r="BO12" s="57">
        <f>BC60</f>
        <v>4533302.66</v>
      </c>
      <c r="BP12" s="60">
        <f>BD60</f>
        <v>14702.250000000004</v>
      </c>
      <c r="BQ12" s="61">
        <f>SUM(BR12:BS12)</f>
        <v>1622949.79</v>
      </c>
      <c r="BR12" s="57">
        <f>BF60</f>
        <v>1622949.79</v>
      </c>
      <c r="BS12" s="62">
        <f>BG60</f>
        <v>0</v>
      </c>
      <c r="BT12" s="63">
        <f>SUM(BU12:BV12)</f>
        <v>6267161.7000000002</v>
      </c>
      <c r="BU12" s="64">
        <f>BL12+BO12+BR12</f>
        <v>6252445.4879999999</v>
      </c>
      <c r="BV12" s="573">
        <f>BM12+BP12+BS12</f>
        <v>14716.212000000003</v>
      </c>
      <c r="BW12" s="572">
        <f>SUM(BX12:BY12)</f>
        <v>96207</v>
      </c>
      <c r="BX12" s="57">
        <f>BL60</f>
        <v>96193.038</v>
      </c>
      <c r="BY12" s="58">
        <f>BM60</f>
        <v>13.962000000000002</v>
      </c>
      <c r="BZ12" s="59">
        <f>SUM(CA12:CB12)</f>
        <v>4383384.1500000004</v>
      </c>
      <c r="CA12" s="57">
        <f>BO60</f>
        <v>4370451.3100000005</v>
      </c>
      <c r="CB12" s="60">
        <f>BP60</f>
        <v>12932.840000000004</v>
      </c>
      <c r="CC12" s="61">
        <f>SUM(CD12:CE12)</f>
        <v>2118116.4300000002</v>
      </c>
      <c r="CD12" s="57">
        <f>BR60</f>
        <v>2118116.4300000002</v>
      </c>
      <c r="CE12" s="62">
        <f>BS60</f>
        <v>0</v>
      </c>
      <c r="CF12" s="63">
        <f>SUM(CG12:CH12)</f>
        <v>6597707.580000001</v>
      </c>
      <c r="CG12" s="64">
        <f>BX12+CA12+CD12</f>
        <v>6584760.7780000009</v>
      </c>
      <c r="CH12" s="573">
        <f>BY12+CB12+CE12</f>
        <v>12946.802000000003</v>
      </c>
    </row>
    <row r="13" spans="1:86" s="101" customFormat="1">
      <c r="A13" s="111">
        <f>A9+1</f>
        <v>3</v>
      </c>
      <c r="B13" s="65" t="s">
        <v>249</v>
      </c>
      <c r="C13" s="625">
        <f t="shared" si="0"/>
        <v>0</v>
      </c>
      <c r="D13" s="67">
        <f>SUM(D14:D16)</f>
        <v>0</v>
      </c>
      <c r="E13" s="105">
        <f>SUM(E14:E16)</f>
        <v>0</v>
      </c>
      <c r="F13" s="66">
        <f t="shared" si="1"/>
        <v>0</v>
      </c>
      <c r="G13" s="67">
        <f>SUM(G14:G16)</f>
        <v>0</v>
      </c>
      <c r="H13" s="105">
        <f>SUM(H14:H16)</f>
        <v>0</v>
      </c>
      <c r="I13" s="66">
        <f t="shared" si="2"/>
        <v>540827</v>
      </c>
      <c r="J13" s="67">
        <f>SUM(J14:J16)</f>
        <v>540827</v>
      </c>
      <c r="K13" s="105">
        <f>SUM(K14:K16)</f>
        <v>0</v>
      </c>
      <c r="L13" s="413">
        <f t="shared" si="3"/>
        <v>540827</v>
      </c>
      <c r="M13" s="67">
        <f>SUM(M14:M16)</f>
        <v>540827</v>
      </c>
      <c r="N13" s="574">
        <f>SUM(N14:N16)</f>
        <v>0</v>
      </c>
      <c r="O13" s="66">
        <f t="shared" si="4"/>
        <v>0</v>
      </c>
      <c r="P13" s="67">
        <f>SUM(P14:P16)</f>
        <v>0</v>
      </c>
      <c r="Q13" s="105">
        <f>SUM(Q14:Q16)</f>
        <v>0</v>
      </c>
      <c r="R13" s="66">
        <f t="shared" si="5"/>
        <v>225509</v>
      </c>
      <c r="S13" s="67">
        <f>SUM(S14:S16)</f>
        <v>209612</v>
      </c>
      <c r="T13" s="105">
        <f>SUM(T14:T16)</f>
        <v>15897</v>
      </c>
      <c r="U13" s="66">
        <f t="shared" si="6"/>
        <v>1613385</v>
      </c>
      <c r="V13" s="67">
        <f>SUM(V14:V16)</f>
        <v>1613385</v>
      </c>
      <c r="W13" s="105">
        <f>SUM(W14:W16)</f>
        <v>0</v>
      </c>
      <c r="X13" s="66">
        <f t="shared" si="7"/>
        <v>1838894</v>
      </c>
      <c r="Y13" s="67">
        <f>SUM(Y14:Y16)</f>
        <v>1822997</v>
      </c>
      <c r="Z13" s="559">
        <f>SUM(Z14:Z16)</f>
        <v>15897</v>
      </c>
      <c r="AA13" s="625">
        <f t="shared" si="8"/>
        <v>0</v>
      </c>
      <c r="AB13" s="67">
        <f>SUM(AB14:AB16)</f>
        <v>0</v>
      </c>
      <c r="AC13" s="105">
        <f>SUM(AC14:AC16)</f>
        <v>0</v>
      </c>
      <c r="AD13" s="66">
        <f t="shared" si="9"/>
        <v>35381</v>
      </c>
      <c r="AE13" s="67">
        <f>SUM(AE14:AE16)</f>
        <v>35381</v>
      </c>
      <c r="AF13" s="105">
        <f>SUM(AF14:AF16)</f>
        <v>0</v>
      </c>
      <c r="AG13" s="66">
        <f t="shared" si="10"/>
        <v>3855727</v>
      </c>
      <c r="AH13" s="67">
        <f>SUM(AH14:AH16)</f>
        <v>3855727</v>
      </c>
      <c r="AI13" s="105">
        <f>SUM(AI14:AI16)</f>
        <v>0</v>
      </c>
      <c r="AJ13" s="66">
        <f t="shared" si="11"/>
        <v>3891108</v>
      </c>
      <c r="AK13" s="67">
        <f>SUM(AK14:AK16)</f>
        <v>3891108</v>
      </c>
      <c r="AL13" s="574">
        <f>SUM(AL14:AL16)</f>
        <v>0</v>
      </c>
      <c r="AM13" s="66">
        <f t="shared" si="12"/>
        <v>0</v>
      </c>
      <c r="AN13" s="67">
        <f>SUM(AN14:AN16)</f>
        <v>0</v>
      </c>
      <c r="AO13" s="105">
        <f>SUM(AO14:AO16)</f>
        <v>0</v>
      </c>
      <c r="AP13" s="66">
        <f t="shared" si="13"/>
        <v>13300</v>
      </c>
      <c r="AQ13" s="67">
        <f>SUM(AQ14:AQ16)</f>
        <v>13300</v>
      </c>
      <c r="AR13" s="105">
        <f>SUM(AR14:AR16)</f>
        <v>0</v>
      </c>
      <c r="AS13" s="66">
        <f t="shared" si="14"/>
        <v>1711466</v>
      </c>
      <c r="AT13" s="67">
        <f>SUM(AT14:AT16)</f>
        <v>1699729.31</v>
      </c>
      <c r="AU13" s="105">
        <f>SUM(AU14:AU16)</f>
        <v>11736.69</v>
      </c>
      <c r="AV13" s="413">
        <f t="shared" si="15"/>
        <v>1724766</v>
      </c>
      <c r="AW13" s="67">
        <f>SUM(AW14:AW16)</f>
        <v>1713029.31</v>
      </c>
      <c r="AX13" s="559">
        <f>SUM(AX14:AX16)</f>
        <v>11736.69</v>
      </c>
      <c r="AY13" s="625">
        <f t="shared" si="66"/>
        <v>0</v>
      </c>
      <c r="AZ13" s="67">
        <f>SUM(AZ14:AZ16)</f>
        <v>0</v>
      </c>
      <c r="BA13" s="105">
        <f>SUM(BA14:BA16)</f>
        <v>0</v>
      </c>
      <c r="BB13" s="66">
        <f t="shared" si="17"/>
        <v>255414</v>
      </c>
      <c r="BC13" s="67">
        <f>SUM(BC14:BC16)</f>
        <v>255414</v>
      </c>
      <c r="BD13" s="105">
        <f>SUM(BD14:BD16)</f>
        <v>0</v>
      </c>
      <c r="BE13" s="66">
        <f t="shared" si="18"/>
        <v>536370</v>
      </c>
      <c r="BF13" s="67">
        <f>SUM(BF14:BF16)</f>
        <v>536370</v>
      </c>
      <c r="BG13" s="105">
        <f>SUM(BG14:BG16)</f>
        <v>0</v>
      </c>
      <c r="BH13" s="66">
        <f t="shared" si="19"/>
        <v>791784</v>
      </c>
      <c r="BI13" s="67">
        <f>SUM(BI14:BI16)</f>
        <v>791784</v>
      </c>
      <c r="BJ13" s="574">
        <f>SUM(BJ14:BJ16)</f>
        <v>0</v>
      </c>
      <c r="BK13" s="625">
        <f t="shared" si="71"/>
        <v>0</v>
      </c>
      <c r="BL13" s="67">
        <f>SUM(BL14:BL16)</f>
        <v>0</v>
      </c>
      <c r="BM13" s="105">
        <f>SUM(BM14:BM16)</f>
        <v>0</v>
      </c>
      <c r="BN13" s="66">
        <f t="shared" si="21"/>
        <v>2380</v>
      </c>
      <c r="BO13" s="67">
        <f>SUM(BO14:BO16)</f>
        <v>2380</v>
      </c>
      <c r="BP13" s="105">
        <f>SUM(BP14:BP16)</f>
        <v>0</v>
      </c>
      <c r="BQ13" s="66">
        <f t="shared" si="22"/>
        <v>495166.64</v>
      </c>
      <c r="BR13" s="67">
        <f>SUM(BR14:BR16)</f>
        <v>495166.64</v>
      </c>
      <c r="BS13" s="105">
        <f>SUM(BS14:BS16)</f>
        <v>0</v>
      </c>
      <c r="BT13" s="66">
        <f t="shared" si="23"/>
        <v>497546.64</v>
      </c>
      <c r="BU13" s="67">
        <f>SUM(BU14:BU16)</f>
        <v>497546.64</v>
      </c>
      <c r="BV13" s="574">
        <f>SUM(BV14:BV16)</f>
        <v>0</v>
      </c>
      <c r="BW13" s="625">
        <f t="shared" ref="BW13:BW60" si="131">SUM(BX13:BY13)</f>
        <v>0</v>
      </c>
      <c r="BX13" s="67">
        <f>SUM(BX14:BX16)</f>
        <v>0</v>
      </c>
      <c r="BY13" s="105">
        <f>SUM(BY14:BY16)</f>
        <v>0</v>
      </c>
      <c r="BZ13" s="66">
        <f t="shared" ref="BZ13:BZ60" si="132">SUM(CA13:CB13)</f>
        <v>4126023</v>
      </c>
      <c r="CA13" s="67">
        <f>SUM(CA14:CA16)</f>
        <v>4126023</v>
      </c>
      <c r="CB13" s="105">
        <f>SUM(CB14:CB16)</f>
        <v>0</v>
      </c>
      <c r="CC13" s="66">
        <f t="shared" ref="CC13:CC60" si="133">SUM(CD13:CE13)</f>
        <v>-2164657</v>
      </c>
      <c r="CD13" s="67">
        <f>SUM(CD14:CD16)</f>
        <v>-2164657</v>
      </c>
      <c r="CE13" s="105">
        <f>SUM(CE14:CE16)</f>
        <v>0</v>
      </c>
      <c r="CF13" s="66">
        <f t="shared" ref="CF13:CF60" si="134">SUM(CG13:CH13)</f>
        <v>1961366</v>
      </c>
      <c r="CG13" s="67">
        <f>SUM(CG14:CG16)</f>
        <v>1961366</v>
      </c>
      <c r="CH13" s="574">
        <f>SUM(CH14:CH16)</f>
        <v>0</v>
      </c>
    </row>
    <row r="14" spans="1:86" s="68" customFormat="1">
      <c r="A14" s="112" t="s">
        <v>275</v>
      </c>
      <c r="B14" s="69" t="s">
        <v>218</v>
      </c>
      <c r="C14" s="575">
        <f t="shared" si="0"/>
        <v>0</v>
      </c>
      <c r="D14" s="132"/>
      <c r="E14" s="133"/>
      <c r="F14" s="70">
        <f t="shared" si="1"/>
        <v>0</v>
      </c>
      <c r="G14" s="132"/>
      <c r="H14" s="133"/>
      <c r="I14" s="70">
        <f t="shared" si="2"/>
        <v>0</v>
      </c>
      <c r="J14" s="132"/>
      <c r="K14" s="133"/>
      <c r="L14" s="414">
        <f t="shared" si="3"/>
        <v>0</v>
      </c>
      <c r="M14" s="72">
        <f>D14+G14+J14</f>
        <v>0</v>
      </c>
      <c r="N14" s="576">
        <f t="shared" ref="N14:N16" si="135">E14+H14+K14</f>
        <v>0</v>
      </c>
      <c r="O14" s="70">
        <f t="shared" si="4"/>
        <v>0</v>
      </c>
      <c r="P14" s="132"/>
      <c r="Q14" s="133"/>
      <c r="R14" s="70">
        <f t="shared" si="5"/>
        <v>0</v>
      </c>
      <c r="S14" s="132">
        <f>2172*0</f>
        <v>0</v>
      </c>
      <c r="T14" s="1481"/>
      <c r="U14" s="70">
        <f t="shared" si="6"/>
        <v>0</v>
      </c>
      <c r="V14" s="132"/>
      <c r="W14" s="133"/>
      <c r="X14" s="71">
        <f t="shared" si="7"/>
        <v>0</v>
      </c>
      <c r="Y14" s="72">
        <f>P14+S14+V14</f>
        <v>0</v>
      </c>
      <c r="Z14" s="560">
        <f t="shared" ref="Z14:Z16" si="136">Q14+T14+W14</f>
        <v>0</v>
      </c>
      <c r="AA14" s="575">
        <f t="shared" si="8"/>
        <v>0</v>
      </c>
      <c r="AB14" s="132"/>
      <c r="AC14" s="133"/>
      <c r="AD14" s="70">
        <f t="shared" si="9"/>
        <v>0</v>
      </c>
      <c r="AE14" s="132">
        <f>7044*0</f>
        <v>0</v>
      </c>
      <c r="AF14" s="133"/>
      <c r="AG14" s="70">
        <f t="shared" si="10"/>
        <v>0</v>
      </c>
      <c r="AH14" s="132"/>
      <c r="AI14" s="133"/>
      <c r="AJ14" s="71">
        <f t="shared" si="11"/>
        <v>0</v>
      </c>
      <c r="AK14" s="72">
        <f>AB14+AE14+AH14</f>
        <v>0</v>
      </c>
      <c r="AL14" s="576">
        <f t="shared" ref="AL14:AL16" si="137">AC14+AF14+AI14</f>
        <v>0</v>
      </c>
      <c r="AM14" s="70">
        <f t="shared" si="12"/>
        <v>0</v>
      </c>
      <c r="AN14" s="132"/>
      <c r="AO14" s="133"/>
      <c r="AP14" s="70">
        <f t="shared" si="13"/>
        <v>0</v>
      </c>
      <c r="AQ14" s="132">
        <f>6554*0</f>
        <v>0</v>
      </c>
      <c r="AR14" s="133"/>
      <c r="AS14" s="70">
        <f t="shared" si="14"/>
        <v>0</v>
      </c>
      <c r="AT14" s="132"/>
      <c r="AU14" s="133"/>
      <c r="AV14" s="414">
        <f t="shared" si="15"/>
        <v>0</v>
      </c>
      <c r="AW14" s="72">
        <f>AN14+AQ14+AT14</f>
        <v>0</v>
      </c>
      <c r="AX14" s="560">
        <f t="shared" ref="AX14:AX16" si="138">AO14+AR14+AU14</f>
        <v>0</v>
      </c>
      <c r="AY14" s="575">
        <f t="shared" si="66"/>
        <v>0</v>
      </c>
      <c r="AZ14" s="132"/>
      <c r="BA14" s="133"/>
      <c r="BB14" s="70">
        <f t="shared" si="17"/>
        <v>0</v>
      </c>
      <c r="BC14" s="132">
        <f>25646*0</f>
        <v>0</v>
      </c>
      <c r="BD14" s="133"/>
      <c r="BE14" s="70">
        <f t="shared" si="18"/>
        <v>0</v>
      </c>
      <c r="BF14" s="132"/>
      <c r="BG14" s="133"/>
      <c r="BH14" s="71">
        <f t="shared" si="19"/>
        <v>0</v>
      </c>
      <c r="BI14" s="72">
        <f>AZ14+BC14+BF14</f>
        <v>0</v>
      </c>
      <c r="BJ14" s="576">
        <f t="shared" ref="BJ14:BJ16" si="139">BA14+BD14+BG14</f>
        <v>0</v>
      </c>
      <c r="BK14" s="575">
        <f t="shared" si="71"/>
        <v>0</v>
      </c>
      <c r="BL14" s="132"/>
      <c r="BM14" s="133"/>
      <c r="BN14" s="70">
        <f t="shared" si="21"/>
        <v>0</v>
      </c>
      <c r="BO14" s="132"/>
      <c r="BP14" s="133"/>
      <c r="BQ14" s="70">
        <f t="shared" si="22"/>
        <v>0</v>
      </c>
      <c r="BR14" s="132"/>
      <c r="BS14" s="133"/>
      <c r="BT14" s="71">
        <f t="shared" si="23"/>
        <v>0</v>
      </c>
      <c r="BU14" s="72">
        <f>BL14+BO14+BR14</f>
        <v>0</v>
      </c>
      <c r="BV14" s="576">
        <f t="shared" ref="BV14:BV16" si="140">BM14+BP14+BS14</f>
        <v>0</v>
      </c>
      <c r="BW14" s="575">
        <f t="shared" si="131"/>
        <v>0</v>
      </c>
      <c r="BX14" s="132"/>
      <c r="BY14" s="133"/>
      <c r="BZ14" s="70">
        <f t="shared" si="132"/>
        <v>107447</v>
      </c>
      <c r="CA14" s="132">
        <v>107447</v>
      </c>
      <c r="CB14" s="133"/>
      <c r="CC14" s="70">
        <f t="shared" si="133"/>
        <v>-54591</v>
      </c>
      <c r="CD14" s="132">
        <v>-54591</v>
      </c>
      <c r="CE14" s="133"/>
      <c r="CF14" s="71">
        <f t="shared" si="134"/>
        <v>52856</v>
      </c>
      <c r="CG14" s="72">
        <f>BX14+CA14+CD14</f>
        <v>52856</v>
      </c>
      <c r="CH14" s="576">
        <f t="shared" ref="CH14:CH16" si="141">BY14+CB14+CE14</f>
        <v>0</v>
      </c>
    </row>
    <row r="15" spans="1:86" s="68" customFormat="1">
      <c r="A15" s="112" t="s">
        <v>276</v>
      </c>
      <c r="B15" s="73" t="s">
        <v>216</v>
      </c>
      <c r="C15" s="575">
        <f t="shared" si="0"/>
        <v>0</v>
      </c>
      <c r="D15" s="132"/>
      <c r="E15" s="133"/>
      <c r="F15" s="70">
        <f t="shared" si="1"/>
        <v>0</v>
      </c>
      <c r="G15" s="132"/>
      <c r="H15" s="133"/>
      <c r="I15" s="70">
        <f t="shared" si="2"/>
        <v>299674</v>
      </c>
      <c r="J15" s="132">
        <v>299674</v>
      </c>
      <c r="K15" s="133"/>
      <c r="L15" s="414">
        <f t="shared" si="3"/>
        <v>299674</v>
      </c>
      <c r="M15" s="72">
        <f t="shared" ref="M15:M16" si="142">D15+G15+J15</f>
        <v>299674</v>
      </c>
      <c r="N15" s="576">
        <f t="shared" si="135"/>
        <v>0</v>
      </c>
      <c r="O15" s="70">
        <f t="shared" si="4"/>
        <v>0</v>
      </c>
      <c r="P15" s="132"/>
      <c r="Q15" s="133"/>
      <c r="R15" s="70">
        <f t="shared" si="5"/>
        <v>0</v>
      </c>
      <c r="S15" s="132"/>
      <c r="T15" s="1481"/>
      <c r="U15" s="70">
        <f t="shared" si="6"/>
        <v>979688</v>
      </c>
      <c r="V15" s="132">
        <f>979688-W15</f>
        <v>979688</v>
      </c>
      <c r="W15" s="1481">
        <f>5210*0</f>
        <v>0</v>
      </c>
      <c r="X15" s="71">
        <f t="shared" si="7"/>
        <v>979688</v>
      </c>
      <c r="Y15" s="72">
        <f t="shared" ref="Y15:Y16" si="143">P15+S15+V15</f>
        <v>979688</v>
      </c>
      <c r="Z15" s="560">
        <f t="shared" si="136"/>
        <v>0</v>
      </c>
      <c r="AA15" s="575">
        <f t="shared" si="8"/>
        <v>0</v>
      </c>
      <c r="AB15" s="132"/>
      <c r="AC15" s="133"/>
      <c r="AD15" s="70">
        <f t="shared" si="9"/>
        <v>0</v>
      </c>
      <c r="AE15" s="132"/>
      <c r="AF15" s="133"/>
      <c r="AG15" s="70">
        <f t="shared" si="10"/>
        <v>2082041</v>
      </c>
      <c r="AH15" s="132">
        <v>2082041</v>
      </c>
      <c r="AI15" s="133"/>
      <c r="AJ15" s="71">
        <f t="shared" si="11"/>
        <v>2082041</v>
      </c>
      <c r="AK15" s="72">
        <f t="shared" ref="AK15:AK16" si="144">AB15+AE15+AH15</f>
        <v>2082041</v>
      </c>
      <c r="AL15" s="576">
        <f t="shared" si="137"/>
        <v>0</v>
      </c>
      <c r="AM15" s="70">
        <f t="shared" si="12"/>
        <v>0</v>
      </c>
      <c r="AN15" s="132"/>
      <c r="AO15" s="133"/>
      <c r="AP15" s="70">
        <f t="shared" si="13"/>
        <v>0</v>
      </c>
      <c r="AQ15" s="132"/>
      <c r="AR15" s="133"/>
      <c r="AS15" s="70">
        <f t="shared" si="14"/>
        <v>351790</v>
      </c>
      <c r="AT15" s="132">
        <f>351790-AU15</f>
        <v>342881.81</v>
      </c>
      <c r="AU15" s="133">
        <f>8908.19</f>
        <v>8908.19</v>
      </c>
      <c r="AV15" s="414">
        <f t="shared" si="15"/>
        <v>351790</v>
      </c>
      <c r="AW15" s="72">
        <f t="shared" ref="AW15:AW16" si="145">AN15+AQ15+AT15</f>
        <v>342881.81</v>
      </c>
      <c r="AX15" s="560">
        <f t="shared" si="138"/>
        <v>8908.19</v>
      </c>
      <c r="AY15" s="575">
        <f t="shared" si="66"/>
        <v>0</v>
      </c>
      <c r="AZ15" s="132"/>
      <c r="BA15" s="133"/>
      <c r="BB15" s="70">
        <f t="shared" si="17"/>
        <v>0</v>
      </c>
      <c r="BC15" s="132"/>
      <c r="BD15" s="133"/>
      <c r="BE15" s="70">
        <f t="shared" si="18"/>
        <v>0</v>
      </c>
      <c r="BF15" s="132"/>
      <c r="BG15" s="133"/>
      <c r="BH15" s="71">
        <f t="shared" si="19"/>
        <v>0</v>
      </c>
      <c r="BI15" s="72">
        <f t="shared" ref="BI15:BI16" si="146">AZ15+BC15+BF15</f>
        <v>0</v>
      </c>
      <c r="BJ15" s="576">
        <f t="shared" si="139"/>
        <v>0</v>
      </c>
      <c r="BK15" s="575">
        <f t="shared" si="71"/>
        <v>0</v>
      </c>
      <c r="BL15" s="132"/>
      <c r="BM15" s="133"/>
      <c r="BN15" s="70">
        <f t="shared" si="21"/>
        <v>0</v>
      </c>
      <c r="BO15" s="132">
        <f>-BR15</f>
        <v>0</v>
      </c>
      <c r="BP15" s="133"/>
      <c r="BQ15" s="70">
        <f t="shared" si="22"/>
        <v>0</v>
      </c>
      <c r="BR15" s="132">
        <f>-BR11*0</f>
        <v>0</v>
      </c>
      <c r="BS15" s="133"/>
      <c r="BT15" s="71">
        <f t="shared" si="23"/>
        <v>0</v>
      </c>
      <c r="BU15" s="72">
        <f t="shared" ref="BU15:BU16" si="147">BL15+BO15+BR15</f>
        <v>0</v>
      </c>
      <c r="BV15" s="576">
        <f t="shared" si="140"/>
        <v>0</v>
      </c>
      <c r="BW15" s="575">
        <f t="shared" si="131"/>
        <v>0</v>
      </c>
      <c r="BX15" s="132"/>
      <c r="BY15" s="133"/>
      <c r="BZ15" s="70">
        <f t="shared" si="132"/>
        <v>0</v>
      </c>
      <c r="CA15" s="132"/>
      <c r="CB15" s="133"/>
      <c r="CC15" s="70">
        <f t="shared" si="133"/>
        <v>0</v>
      </c>
      <c r="CD15" s="132"/>
      <c r="CE15" s="133"/>
      <c r="CF15" s="71">
        <f t="shared" si="134"/>
        <v>0</v>
      </c>
      <c r="CG15" s="72">
        <f t="shared" ref="CG15:CG16" si="148">BX15+CA15+CD15</f>
        <v>0</v>
      </c>
      <c r="CH15" s="576">
        <f t="shared" si="141"/>
        <v>0</v>
      </c>
    </row>
    <row r="16" spans="1:86" s="68" customFormat="1">
      <c r="A16" s="112" t="s">
        <v>277</v>
      </c>
      <c r="B16" s="624" t="s">
        <v>217</v>
      </c>
      <c r="C16" s="575">
        <f t="shared" si="0"/>
        <v>0</v>
      </c>
      <c r="D16" s="132"/>
      <c r="E16" s="133"/>
      <c r="F16" s="70">
        <f t="shared" si="1"/>
        <v>0</v>
      </c>
      <c r="G16" s="132"/>
      <c r="H16" s="133"/>
      <c r="I16" s="70">
        <f t="shared" si="2"/>
        <v>241153</v>
      </c>
      <c r="J16" s="132">
        <v>241153</v>
      </c>
      <c r="K16" s="133"/>
      <c r="L16" s="414">
        <f t="shared" si="3"/>
        <v>241153</v>
      </c>
      <c r="M16" s="72">
        <f t="shared" si="142"/>
        <v>241153</v>
      </c>
      <c r="N16" s="576">
        <f t="shared" si="135"/>
        <v>0</v>
      </c>
      <c r="O16" s="70">
        <f t="shared" si="4"/>
        <v>0</v>
      </c>
      <c r="P16" s="132"/>
      <c r="Q16" s="133"/>
      <c r="R16" s="70">
        <f t="shared" si="5"/>
        <v>225509</v>
      </c>
      <c r="S16" s="132">
        <f>209612-S14</f>
        <v>209612</v>
      </c>
      <c r="T16" s="1481">
        <v>15897</v>
      </c>
      <c r="U16" s="70">
        <f t="shared" si="6"/>
        <v>633697</v>
      </c>
      <c r="V16" s="132">
        <f>633697-W16</f>
        <v>633697</v>
      </c>
      <c r="W16" s="1481">
        <f>1654*0</f>
        <v>0</v>
      </c>
      <c r="X16" s="71">
        <f t="shared" si="7"/>
        <v>859206</v>
      </c>
      <c r="Y16" s="72">
        <f t="shared" si="143"/>
        <v>843309</v>
      </c>
      <c r="Z16" s="560">
        <f t="shared" si="136"/>
        <v>15897</v>
      </c>
      <c r="AA16" s="575">
        <f t="shared" si="8"/>
        <v>0</v>
      </c>
      <c r="AB16" s="132"/>
      <c r="AC16" s="133"/>
      <c r="AD16" s="70">
        <f t="shared" si="9"/>
        <v>35381</v>
      </c>
      <c r="AE16" s="132">
        <f>35381-AE14</f>
        <v>35381</v>
      </c>
      <c r="AF16" s="133"/>
      <c r="AG16" s="70">
        <f t="shared" si="10"/>
        <v>1773686</v>
      </c>
      <c r="AH16" s="132">
        <v>1773686</v>
      </c>
      <c r="AI16" s="133"/>
      <c r="AJ16" s="71">
        <f t="shared" si="11"/>
        <v>1809067</v>
      </c>
      <c r="AK16" s="72">
        <f t="shared" si="144"/>
        <v>1809067</v>
      </c>
      <c r="AL16" s="576">
        <f t="shared" si="137"/>
        <v>0</v>
      </c>
      <c r="AM16" s="70">
        <f t="shared" si="12"/>
        <v>0</v>
      </c>
      <c r="AN16" s="132"/>
      <c r="AO16" s="133"/>
      <c r="AP16" s="70">
        <f t="shared" si="13"/>
        <v>13300</v>
      </c>
      <c r="AQ16" s="132">
        <f>13300-AQ14</f>
        <v>13300</v>
      </c>
      <c r="AR16" s="133"/>
      <c r="AS16" s="70">
        <f t="shared" si="14"/>
        <v>1359676</v>
      </c>
      <c r="AT16" s="132">
        <f>1359676-AU16</f>
        <v>1356847.5</v>
      </c>
      <c r="AU16" s="133">
        <f>2828.5</f>
        <v>2828.5</v>
      </c>
      <c r="AV16" s="414">
        <f t="shared" si="15"/>
        <v>1372976</v>
      </c>
      <c r="AW16" s="72">
        <f t="shared" si="145"/>
        <v>1370147.5</v>
      </c>
      <c r="AX16" s="560">
        <f t="shared" si="138"/>
        <v>2828.5</v>
      </c>
      <c r="AY16" s="575">
        <f t="shared" si="66"/>
        <v>0</v>
      </c>
      <c r="AZ16" s="132"/>
      <c r="BA16" s="133"/>
      <c r="BB16" s="70">
        <f t="shared" si="17"/>
        <v>255414</v>
      </c>
      <c r="BC16" s="132">
        <f>(10413*0+24572*1+39413)+(191429-2380*0)-BC14</f>
        <v>255414</v>
      </c>
      <c r="BD16" s="133"/>
      <c r="BE16" s="70">
        <f t="shared" si="18"/>
        <v>536370</v>
      </c>
      <c r="BF16" s="132">
        <f>536370-BF15</f>
        <v>536370</v>
      </c>
      <c r="BG16" s="133"/>
      <c r="BH16" s="71">
        <f t="shared" si="19"/>
        <v>791784</v>
      </c>
      <c r="BI16" s="72">
        <f t="shared" si="146"/>
        <v>791784</v>
      </c>
      <c r="BJ16" s="576">
        <f t="shared" si="139"/>
        <v>0</v>
      </c>
      <c r="BK16" s="575">
        <f t="shared" si="71"/>
        <v>0</v>
      </c>
      <c r="BL16" s="132"/>
      <c r="BM16" s="133"/>
      <c r="BN16" s="70">
        <f t="shared" si="21"/>
        <v>2380</v>
      </c>
      <c r="BO16" s="132">
        <f>(2594009.52*0+2635539*0+2657105*0+2380*1)-BO15</f>
        <v>2380</v>
      </c>
      <c r="BP16" s="133"/>
      <c r="BQ16" s="70">
        <f t="shared" si="22"/>
        <v>495166.64</v>
      </c>
      <c r="BR16" s="132">
        <f>-1609935.52*0+495166.64-BR15</f>
        <v>495166.64</v>
      </c>
      <c r="BS16" s="133"/>
      <c r="BT16" s="71">
        <f t="shared" si="23"/>
        <v>497546.64</v>
      </c>
      <c r="BU16" s="72">
        <f t="shared" si="147"/>
        <v>497546.64</v>
      </c>
      <c r="BV16" s="576">
        <f t="shared" si="140"/>
        <v>0</v>
      </c>
      <c r="BW16" s="575">
        <f t="shared" si="131"/>
        <v>0</v>
      </c>
      <c r="BX16" s="132"/>
      <c r="BY16" s="133"/>
      <c r="BZ16" s="70">
        <f t="shared" si="132"/>
        <v>4018576</v>
      </c>
      <c r="CA16" s="132">
        <f>(2353100+60000+306200)*0+5376405*0+4018576-CA15</f>
        <v>4018576</v>
      </c>
      <c r="CB16" s="133"/>
      <c r="CC16" s="70">
        <f t="shared" si="133"/>
        <v>-2110066</v>
      </c>
      <c r="CD16" s="132">
        <f>-2164655-2+54591</f>
        <v>-2110066</v>
      </c>
      <c r="CE16" s="133"/>
      <c r="CF16" s="71">
        <f t="shared" si="134"/>
        <v>1908510</v>
      </c>
      <c r="CG16" s="72">
        <f t="shared" si="148"/>
        <v>1908510</v>
      </c>
      <c r="CH16" s="576">
        <f t="shared" si="141"/>
        <v>0</v>
      </c>
    </row>
    <row r="17" spans="1:86" s="101" customFormat="1">
      <c r="A17" s="111">
        <f>A13+1</f>
        <v>4</v>
      </c>
      <c r="B17" s="65" t="s">
        <v>250</v>
      </c>
      <c r="C17" s="625">
        <f t="shared" si="0"/>
        <v>0</v>
      </c>
      <c r="D17" s="67">
        <f>SUM(D18:D20)</f>
        <v>0</v>
      </c>
      <c r="E17" s="105">
        <f>SUM(E18:E20)</f>
        <v>0</v>
      </c>
      <c r="F17" s="66">
        <f t="shared" si="1"/>
        <v>170177.7</v>
      </c>
      <c r="G17" s="67">
        <f>SUM(G18:G20)</f>
        <v>169834.5</v>
      </c>
      <c r="H17" s="105">
        <f>SUM(H18:H20)</f>
        <v>343.2</v>
      </c>
      <c r="I17" s="66">
        <f t="shared" si="2"/>
        <v>0</v>
      </c>
      <c r="J17" s="67">
        <f>SUM(J18:J20)</f>
        <v>0</v>
      </c>
      <c r="K17" s="105">
        <f>SUM(K18:K20)</f>
        <v>0</v>
      </c>
      <c r="L17" s="413">
        <f t="shared" si="3"/>
        <v>170177.7</v>
      </c>
      <c r="M17" s="67">
        <f>SUM(M18:M20)</f>
        <v>169834.5</v>
      </c>
      <c r="N17" s="574">
        <f>SUM(N18:N20)</f>
        <v>343.2</v>
      </c>
      <c r="O17" s="66">
        <f t="shared" si="4"/>
        <v>0</v>
      </c>
      <c r="P17" s="67">
        <f>SUM(P18:P20)</f>
        <v>0</v>
      </c>
      <c r="Q17" s="105">
        <f>SUM(Q18:Q20)</f>
        <v>0</v>
      </c>
      <c r="R17" s="66">
        <f t="shared" si="5"/>
        <v>237225</v>
      </c>
      <c r="S17" s="67">
        <f>SUM(S18:S20)</f>
        <v>236484.8</v>
      </c>
      <c r="T17" s="105">
        <f>SUM(T18:T20)</f>
        <v>740.2</v>
      </c>
      <c r="U17" s="66">
        <f t="shared" si="6"/>
        <v>0</v>
      </c>
      <c r="V17" s="67">
        <f>SUM(V18:V20)</f>
        <v>0</v>
      </c>
      <c r="W17" s="105">
        <f>SUM(W18:W20)</f>
        <v>0</v>
      </c>
      <c r="X17" s="66">
        <f t="shared" si="7"/>
        <v>237225</v>
      </c>
      <c r="Y17" s="67">
        <f>SUM(Y18:Y20)</f>
        <v>236484.8</v>
      </c>
      <c r="Z17" s="559">
        <f>SUM(Z18:Z20)</f>
        <v>740.2</v>
      </c>
      <c r="AA17" s="625">
        <f t="shared" si="8"/>
        <v>0</v>
      </c>
      <c r="AB17" s="67">
        <f>SUM(AB18:AB20)</f>
        <v>0</v>
      </c>
      <c r="AC17" s="105">
        <f>SUM(AC18:AC20)</f>
        <v>0</v>
      </c>
      <c r="AD17" s="66">
        <f t="shared" si="9"/>
        <v>274860</v>
      </c>
      <c r="AE17" s="67">
        <f>SUM(AE18:AE20)</f>
        <v>272926.8</v>
      </c>
      <c r="AF17" s="105">
        <f>SUM(AF18:AF20)</f>
        <v>1933.2</v>
      </c>
      <c r="AG17" s="66">
        <f t="shared" si="10"/>
        <v>0</v>
      </c>
      <c r="AH17" s="67">
        <f>SUM(AH18:AH20)</f>
        <v>0</v>
      </c>
      <c r="AI17" s="105">
        <f>SUM(AI18:AI20)</f>
        <v>0</v>
      </c>
      <c r="AJ17" s="66">
        <f t="shared" si="11"/>
        <v>274860</v>
      </c>
      <c r="AK17" s="67">
        <f>SUM(AK18:AK20)</f>
        <v>272926.8</v>
      </c>
      <c r="AL17" s="574">
        <f>SUM(AL18:AL20)</f>
        <v>1933.2</v>
      </c>
      <c r="AM17" s="66">
        <f t="shared" si="12"/>
        <v>0</v>
      </c>
      <c r="AN17" s="67">
        <f>SUM(AN18:AN20)</f>
        <v>0</v>
      </c>
      <c r="AO17" s="105">
        <f>SUM(AO18:AO20)</f>
        <v>0</v>
      </c>
      <c r="AP17" s="66">
        <f t="shared" si="13"/>
        <v>411055.00000000006</v>
      </c>
      <c r="AQ17" s="67">
        <f>SUM(AQ18:AQ20)</f>
        <v>409121.80000000005</v>
      </c>
      <c r="AR17" s="105">
        <f>SUM(AR18:AR20)</f>
        <v>1933.2</v>
      </c>
      <c r="AS17" s="66">
        <f t="shared" si="14"/>
        <v>0</v>
      </c>
      <c r="AT17" s="67">
        <f>SUM(AT18:AT20)</f>
        <v>0</v>
      </c>
      <c r="AU17" s="105">
        <f>SUM(AU18:AU20)</f>
        <v>0</v>
      </c>
      <c r="AV17" s="413">
        <f t="shared" si="15"/>
        <v>411055.00000000006</v>
      </c>
      <c r="AW17" s="67">
        <f>SUM(AW18:AW20)</f>
        <v>409121.80000000005</v>
      </c>
      <c r="AX17" s="559">
        <f>SUM(AX18:AX20)</f>
        <v>1933.2</v>
      </c>
      <c r="AY17" s="625">
        <f t="shared" si="66"/>
        <v>0</v>
      </c>
      <c r="AZ17" s="67">
        <f>SUM(AZ18:AZ20)</f>
        <v>0</v>
      </c>
      <c r="BA17" s="105">
        <f>SUM(BA18:BA20)</f>
        <v>0</v>
      </c>
      <c r="BB17" s="66">
        <f t="shared" si="17"/>
        <v>453788.00000000006</v>
      </c>
      <c r="BC17" s="67">
        <f>SUM(BC18:BC20)</f>
        <v>451453.54000000004</v>
      </c>
      <c r="BD17" s="105">
        <f>SUM(BD18:BD20)</f>
        <v>2334.46</v>
      </c>
      <c r="BE17" s="66">
        <f t="shared" si="18"/>
        <v>0</v>
      </c>
      <c r="BF17" s="67">
        <f>SUM(BF18:BF20)</f>
        <v>0</v>
      </c>
      <c r="BG17" s="105">
        <f>SUM(BG18:BG20)</f>
        <v>0</v>
      </c>
      <c r="BH17" s="413">
        <f t="shared" si="19"/>
        <v>453788.00000000006</v>
      </c>
      <c r="BI17" s="67">
        <f>SUM(BI18:BI20)</f>
        <v>451453.54000000004</v>
      </c>
      <c r="BJ17" s="574">
        <f>SUM(BJ18:BJ20)</f>
        <v>2334.46</v>
      </c>
      <c r="BK17" s="625">
        <f t="shared" si="71"/>
        <v>0</v>
      </c>
      <c r="BL17" s="67">
        <f>SUM(BL18:BL20)</f>
        <v>0</v>
      </c>
      <c r="BM17" s="105">
        <f>SUM(BM18:BM20)</f>
        <v>0</v>
      </c>
      <c r="BN17" s="66">
        <f t="shared" si="21"/>
        <v>426850.76000000007</v>
      </c>
      <c r="BO17" s="67">
        <f>SUM(BO18:BO20)</f>
        <v>424516.30000000005</v>
      </c>
      <c r="BP17" s="105">
        <f>SUM(BP18:BP20)</f>
        <v>2334.46</v>
      </c>
      <c r="BQ17" s="66">
        <f t="shared" si="22"/>
        <v>0</v>
      </c>
      <c r="BR17" s="67">
        <f>SUM(BR18:BR20)</f>
        <v>0</v>
      </c>
      <c r="BS17" s="105">
        <f>SUM(BS18:BS20)</f>
        <v>0</v>
      </c>
      <c r="BT17" s="66">
        <f t="shared" si="23"/>
        <v>426850.76000000007</v>
      </c>
      <c r="BU17" s="67">
        <f>SUM(BU18:BU20)</f>
        <v>424516.30000000005</v>
      </c>
      <c r="BV17" s="574">
        <f>SUM(BV18:BV20)</f>
        <v>2334.46</v>
      </c>
      <c r="BW17" s="625">
        <f t="shared" si="131"/>
        <v>0</v>
      </c>
      <c r="BX17" s="67">
        <f>SUM(BX18:BX20)</f>
        <v>0</v>
      </c>
      <c r="BY17" s="105">
        <f>SUM(BY18:BY20)</f>
        <v>0</v>
      </c>
      <c r="BZ17" s="66">
        <f t="shared" si="132"/>
        <v>613863.0866712851</v>
      </c>
      <c r="CA17" s="67">
        <f>SUM(CA18:CA20)</f>
        <v>611528.62667128514</v>
      </c>
      <c r="CB17" s="105">
        <f>SUM(CB18:CB20)</f>
        <v>2334.46</v>
      </c>
      <c r="CC17" s="66">
        <f t="shared" si="133"/>
        <v>0</v>
      </c>
      <c r="CD17" s="67">
        <f>SUM(CD18:CD20)</f>
        <v>0</v>
      </c>
      <c r="CE17" s="105">
        <f>SUM(CE18:CE20)</f>
        <v>0</v>
      </c>
      <c r="CF17" s="66">
        <f t="shared" si="134"/>
        <v>613863.0866712851</v>
      </c>
      <c r="CG17" s="67">
        <f>SUM(CG18:CG20)</f>
        <v>611528.62667128514</v>
      </c>
      <c r="CH17" s="574">
        <f>SUM(CH18:CH20)</f>
        <v>2334.46</v>
      </c>
    </row>
    <row r="18" spans="1:86" s="68" customFormat="1">
      <c r="A18" s="112" t="s">
        <v>278</v>
      </c>
      <c r="B18" s="69" t="s">
        <v>218</v>
      </c>
      <c r="C18" s="575">
        <f t="shared" si="0"/>
        <v>0</v>
      </c>
      <c r="D18" s="132"/>
      <c r="E18" s="133"/>
      <c r="F18" s="70">
        <f t="shared" si="1"/>
        <v>0</v>
      </c>
      <c r="G18" s="132"/>
      <c r="H18" s="133"/>
      <c r="I18" s="70">
        <f t="shared" si="2"/>
        <v>0</v>
      </c>
      <c r="J18" s="132"/>
      <c r="K18" s="133"/>
      <c r="L18" s="414">
        <f t="shared" si="3"/>
        <v>0</v>
      </c>
      <c r="M18" s="72">
        <f>D18+G18+J18</f>
        <v>0</v>
      </c>
      <c r="N18" s="576">
        <f t="shared" ref="N18:N20" si="149">E18+H18+K18</f>
        <v>0</v>
      </c>
      <c r="O18" s="70">
        <f t="shared" si="4"/>
        <v>0</v>
      </c>
      <c r="P18" s="132"/>
      <c r="Q18" s="133"/>
      <c r="R18" s="70">
        <f t="shared" si="5"/>
        <v>0</v>
      </c>
      <c r="S18" s="132">
        <v>0</v>
      </c>
      <c r="T18" s="133"/>
      <c r="U18" s="70">
        <f t="shared" si="6"/>
        <v>0</v>
      </c>
      <c r="V18" s="132"/>
      <c r="W18" s="133"/>
      <c r="X18" s="71">
        <f t="shared" si="7"/>
        <v>0</v>
      </c>
      <c r="Y18" s="72">
        <f>P18+S18+V18</f>
        <v>0</v>
      </c>
      <c r="Z18" s="560">
        <f t="shared" ref="Z18:Z20" si="150">Q18+T18+W18</f>
        <v>0</v>
      </c>
      <c r="AA18" s="575">
        <f t="shared" si="8"/>
        <v>0</v>
      </c>
      <c r="AB18" s="132"/>
      <c r="AC18" s="133"/>
      <c r="AD18" s="70">
        <f t="shared" si="9"/>
        <v>0</v>
      </c>
      <c r="AE18" s="132">
        <f>S6*0.025+(AE6-S6)*0.025</f>
        <v>0</v>
      </c>
      <c r="AF18" s="133"/>
      <c r="AG18" s="70">
        <f t="shared" si="10"/>
        <v>0</v>
      </c>
      <c r="AH18" s="132"/>
      <c r="AI18" s="133"/>
      <c r="AJ18" s="71">
        <f t="shared" si="11"/>
        <v>0</v>
      </c>
      <c r="AK18" s="72">
        <f>AB18+AE18+AH18</f>
        <v>0</v>
      </c>
      <c r="AL18" s="576">
        <f t="shared" ref="AL18:AL20" si="151">AC18+AF18+AI18</f>
        <v>0</v>
      </c>
      <c r="AM18" s="70">
        <f t="shared" si="12"/>
        <v>0</v>
      </c>
      <c r="AN18" s="132"/>
      <c r="AO18" s="133"/>
      <c r="AP18" s="70">
        <f t="shared" si="13"/>
        <v>0</v>
      </c>
      <c r="AQ18" s="132">
        <f>AE6*0.025+(AQ6-AE6)*0.025</f>
        <v>0</v>
      </c>
      <c r="AR18" s="133"/>
      <c r="AS18" s="70">
        <f t="shared" si="14"/>
        <v>0</v>
      </c>
      <c r="AT18" s="132"/>
      <c r="AU18" s="133"/>
      <c r="AV18" s="414">
        <f t="shared" si="15"/>
        <v>0</v>
      </c>
      <c r="AW18" s="72">
        <f>AN18+AQ18+AT18</f>
        <v>0</v>
      </c>
      <c r="AX18" s="560">
        <f t="shared" ref="AX18:AX20" si="152">AO18+AR18+AU18</f>
        <v>0</v>
      </c>
      <c r="AY18" s="575">
        <f t="shared" si="66"/>
        <v>0</v>
      </c>
      <c r="AZ18" s="132"/>
      <c r="BA18" s="133"/>
      <c r="BB18" s="70">
        <f t="shared" si="17"/>
        <v>0</v>
      </c>
      <c r="BC18" s="132">
        <v>0</v>
      </c>
      <c r="BD18" s="133"/>
      <c r="BE18" s="70">
        <f t="shared" si="18"/>
        <v>0</v>
      </c>
      <c r="BF18" s="132"/>
      <c r="BG18" s="133"/>
      <c r="BH18" s="71">
        <f t="shared" si="19"/>
        <v>0</v>
      </c>
      <c r="BI18" s="72">
        <f>AZ18+BC18+BF18</f>
        <v>0</v>
      </c>
      <c r="BJ18" s="576">
        <f t="shared" ref="BJ18:BJ20" si="153">BA18+BD18+BG18</f>
        <v>0</v>
      </c>
      <c r="BK18" s="575">
        <f t="shared" si="71"/>
        <v>0</v>
      </c>
      <c r="BL18" s="132"/>
      <c r="BM18" s="133"/>
      <c r="BN18" s="70">
        <f t="shared" si="21"/>
        <v>0</v>
      </c>
      <c r="BO18" s="132"/>
      <c r="BP18" s="133"/>
      <c r="BQ18" s="70">
        <f t="shared" si="22"/>
        <v>0</v>
      </c>
      <c r="BR18" s="132"/>
      <c r="BS18" s="133"/>
      <c r="BT18" s="71">
        <f t="shared" si="23"/>
        <v>0</v>
      </c>
      <c r="BU18" s="72">
        <f>BL18+BO18+BR18</f>
        <v>0</v>
      </c>
      <c r="BV18" s="576">
        <f t="shared" ref="BV18:BV20" si="154">BM18+BP18+BS18</f>
        <v>0</v>
      </c>
      <c r="BW18" s="575">
        <f t="shared" si="131"/>
        <v>0</v>
      </c>
      <c r="BX18" s="132"/>
      <c r="BY18" s="133"/>
      <c r="BZ18" s="70">
        <f t="shared" si="132"/>
        <v>0</v>
      </c>
      <c r="CA18" s="132">
        <v>0</v>
      </c>
      <c r="CB18" s="133"/>
      <c r="CC18" s="70">
        <f t="shared" si="133"/>
        <v>0</v>
      </c>
      <c r="CD18" s="132"/>
      <c r="CE18" s="133"/>
      <c r="CF18" s="71">
        <f t="shared" si="134"/>
        <v>0</v>
      </c>
      <c r="CG18" s="72">
        <f>BX18+CA18+CD18</f>
        <v>0</v>
      </c>
      <c r="CH18" s="576">
        <f t="shared" ref="CH18:CH20" si="155">BY18+CB18+CE18</f>
        <v>0</v>
      </c>
    </row>
    <row r="19" spans="1:86" s="68" customFormat="1">
      <c r="A19" s="112" t="s">
        <v>279</v>
      </c>
      <c r="B19" s="73" t="s">
        <v>216</v>
      </c>
      <c r="C19" s="575">
        <f t="shared" si="0"/>
        <v>0</v>
      </c>
      <c r="D19" s="132"/>
      <c r="E19" s="133"/>
      <c r="F19" s="70">
        <f t="shared" si="1"/>
        <v>121168.08</v>
      </c>
      <c r="G19" s="132">
        <f>121168.08-260.49</f>
        <v>120907.59</v>
      </c>
      <c r="H19" s="133">
        <f>260.49</f>
        <v>260.49</v>
      </c>
      <c r="I19" s="70">
        <f t="shared" si="2"/>
        <v>0</v>
      </c>
      <c r="J19" s="132"/>
      <c r="K19" s="133"/>
      <c r="L19" s="414">
        <f t="shared" si="3"/>
        <v>121168.08</v>
      </c>
      <c r="M19" s="71">
        <f t="shared" ref="M19" si="156">D19+G19+J19</f>
        <v>120907.59</v>
      </c>
      <c r="N19" s="577">
        <f t="shared" si="149"/>
        <v>260.49</v>
      </c>
      <c r="O19" s="70">
        <f t="shared" si="4"/>
        <v>0</v>
      </c>
      <c r="P19" s="132"/>
      <c r="Q19" s="133"/>
      <c r="R19" s="70">
        <f t="shared" si="5"/>
        <v>151374</v>
      </c>
      <c r="S19" s="132">
        <f>151374-260.49</f>
        <v>151113.51</v>
      </c>
      <c r="T19" s="133">
        <f>260.49</f>
        <v>260.49</v>
      </c>
      <c r="U19" s="70">
        <f t="shared" si="6"/>
        <v>0</v>
      </c>
      <c r="V19" s="132"/>
      <c r="W19" s="133"/>
      <c r="X19" s="71">
        <f t="shared" si="7"/>
        <v>151374</v>
      </c>
      <c r="Y19" s="71">
        <f t="shared" ref="Y19" si="157">P19+S19+V19</f>
        <v>151113.51</v>
      </c>
      <c r="Z19" s="618">
        <f t="shared" si="150"/>
        <v>260.49</v>
      </c>
      <c r="AA19" s="575">
        <f t="shared" si="8"/>
        <v>0</v>
      </c>
      <c r="AB19" s="132"/>
      <c r="AC19" s="133"/>
      <c r="AD19" s="70">
        <f t="shared" si="9"/>
        <v>176149</v>
      </c>
      <c r="AE19" s="132">
        <f>176149-260.49</f>
        <v>175888.51</v>
      </c>
      <c r="AF19" s="133">
        <f>260.49</f>
        <v>260.49</v>
      </c>
      <c r="AG19" s="70">
        <f t="shared" si="10"/>
        <v>0</v>
      </c>
      <c r="AH19" s="132"/>
      <c r="AI19" s="133"/>
      <c r="AJ19" s="71">
        <f t="shared" si="11"/>
        <v>176149</v>
      </c>
      <c r="AK19" s="782">
        <f t="shared" ref="AK19" si="158">AB19+AE19+AH19</f>
        <v>175888.51</v>
      </c>
      <c r="AL19" s="1496">
        <f t="shared" si="151"/>
        <v>260.49</v>
      </c>
      <c r="AM19" s="70">
        <f t="shared" si="12"/>
        <v>0</v>
      </c>
      <c r="AN19" s="132"/>
      <c r="AO19" s="133"/>
      <c r="AP19" s="70">
        <f t="shared" si="13"/>
        <v>256648</v>
      </c>
      <c r="AQ19" s="132">
        <f>256648-260.49</f>
        <v>256387.51</v>
      </c>
      <c r="AR19" s="133">
        <f>260.49</f>
        <v>260.49</v>
      </c>
      <c r="AS19" s="70">
        <f t="shared" si="14"/>
        <v>0</v>
      </c>
      <c r="AT19" s="132"/>
      <c r="AU19" s="133"/>
      <c r="AV19" s="414">
        <f t="shared" si="15"/>
        <v>256648</v>
      </c>
      <c r="AW19" s="785">
        <f t="shared" ref="AW19" si="159">AN19+AQ19+AT19</f>
        <v>256387.51</v>
      </c>
      <c r="AX19" s="1497">
        <f t="shared" si="152"/>
        <v>260.49</v>
      </c>
      <c r="AY19" s="575">
        <f t="shared" si="66"/>
        <v>0</v>
      </c>
      <c r="AZ19" s="132"/>
      <c r="BA19" s="133"/>
      <c r="BB19" s="70">
        <f t="shared" si="17"/>
        <v>259850</v>
      </c>
      <c r="BC19" s="132">
        <f>259850-565.05</f>
        <v>259284.95</v>
      </c>
      <c r="BD19" s="133">
        <f>565.05</f>
        <v>565.04999999999995</v>
      </c>
      <c r="BE19" s="70">
        <f t="shared" si="18"/>
        <v>0</v>
      </c>
      <c r="BF19" s="132"/>
      <c r="BG19" s="133"/>
      <c r="BH19" s="71">
        <f t="shared" si="19"/>
        <v>259850</v>
      </c>
      <c r="BI19" s="785">
        <f t="shared" ref="BI19:BI20" si="160">AZ19+BC19+BF19</f>
        <v>259284.95</v>
      </c>
      <c r="BJ19" s="1498">
        <f t="shared" si="153"/>
        <v>565.04999999999995</v>
      </c>
      <c r="BK19" s="575">
        <f t="shared" si="71"/>
        <v>0</v>
      </c>
      <c r="BL19" s="132"/>
      <c r="BM19" s="133"/>
      <c r="BN19" s="70">
        <f t="shared" si="21"/>
        <v>259850</v>
      </c>
      <c r="BO19" s="132">
        <f>BC19</f>
        <v>259284.95</v>
      </c>
      <c r="BP19" s="133">
        <f>565.05</f>
        <v>565.04999999999995</v>
      </c>
      <c r="BQ19" s="70">
        <f t="shared" si="22"/>
        <v>0</v>
      </c>
      <c r="BR19" s="132"/>
      <c r="BS19" s="133"/>
      <c r="BT19" s="71">
        <f t="shared" si="23"/>
        <v>259850</v>
      </c>
      <c r="BU19" s="785">
        <f t="shared" ref="BU19:BU20" si="161">BL19+BO19+BR19</f>
        <v>259284.95</v>
      </c>
      <c r="BV19" s="1498">
        <f t="shared" si="154"/>
        <v>565.04999999999995</v>
      </c>
      <c r="BW19" s="575">
        <f t="shared" si="131"/>
        <v>0</v>
      </c>
      <c r="BX19" s="132"/>
      <c r="BY19" s="133"/>
      <c r="BZ19" s="70">
        <f t="shared" si="132"/>
        <v>259850</v>
      </c>
      <c r="CA19" s="132">
        <f>BO19</f>
        <v>259284.95</v>
      </c>
      <c r="CB19" s="133">
        <f>565.05</f>
        <v>565.04999999999995</v>
      </c>
      <c r="CC19" s="70">
        <f t="shared" si="133"/>
        <v>0</v>
      </c>
      <c r="CD19" s="132"/>
      <c r="CE19" s="133"/>
      <c r="CF19" s="71">
        <f t="shared" si="134"/>
        <v>259850</v>
      </c>
      <c r="CG19" s="785">
        <f t="shared" ref="CG19:CG20" si="162">BX19+CA19+CD19</f>
        <v>259284.95</v>
      </c>
      <c r="CH19" s="1498">
        <f t="shared" si="155"/>
        <v>565.04999999999995</v>
      </c>
    </row>
    <row r="20" spans="1:86" s="68" customFormat="1" ht="14.4" thickBot="1">
      <c r="A20" s="113" t="s">
        <v>280</v>
      </c>
      <c r="B20" s="74" t="s">
        <v>217</v>
      </c>
      <c r="C20" s="578">
        <f t="shared" si="0"/>
        <v>0</v>
      </c>
      <c r="D20" s="134"/>
      <c r="E20" s="135"/>
      <c r="F20" s="75">
        <f t="shared" si="1"/>
        <v>49009.62</v>
      </c>
      <c r="G20" s="134">
        <f>49009.62-82.71</f>
        <v>48926.91</v>
      </c>
      <c r="H20" s="135">
        <f>82.71</f>
        <v>82.71</v>
      </c>
      <c r="I20" s="75">
        <f t="shared" si="2"/>
        <v>0</v>
      </c>
      <c r="J20" s="134"/>
      <c r="K20" s="135"/>
      <c r="L20" s="415">
        <f t="shared" si="3"/>
        <v>49009.62</v>
      </c>
      <c r="M20" s="76">
        <f>D20+G20+J20</f>
        <v>48926.91</v>
      </c>
      <c r="N20" s="610">
        <f t="shared" si="149"/>
        <v>82.71</v>
      </c>
      <c r="O20" s="75">
        <f t="shared" si="4"/>
        <v>0</v>
      </c>
      <c r="P20" s="134"/>
      <c r="Q20" s="135"/>
      <c r="R20" s="75">
        <f t="shared" si="5"/>
        <v>85851</v>
      </c>
      <c r="S20" s="134">
        <f>85454-82.71</f>
        <v>85371.29</v>
      </c>
      <c r="T20" s="135">
        <f>397+82.71</f>
        <v>479.71</v>
      </c>
      <c r="U20" s="75">
        <f t="shared" si="6"/>
        <v>0</v>
      </c>
      <c r="V20" s="134"/>
      <c r="W20" s="135"/>
      <c r="X20" s="76">
        <f t="shared" si="7"/>
        <v>85851</v>
      </c>
      <c r="Y20" s="76">
        <f>P20+S20+V20</f>
        <v>85371.29</v>
      </c>
      <c r="Z20" s="619">
        <f t="shared" si="150"/>
        <v>479.71</v>
      </c>
      <c r="AA20" s="578">
        <f t="shared" si="8"/>
        <v>0</v>
      </c>
      <c r="AB20" s="134"/>
      <c r="AC20" s="135"/>
      <c r="AD20" s="75">
        <f t="shared" si="9"/>
        <v>98711</v>
      </c>
      <c r="AE20" s="134">
        <f>97121-82.71</f>
        <v>97038.29</v>
      </c>
      <c r="AF20" s="135">
        <f>1590+82.71</f>
        <v>1672.71</v>
      </c>
      <c r="AG20" s="75">
        <f t="shared" si="10"/>
        <v>0</v>
      </c>
      <c r="AH20" s="134"/>
      <c r="AI20" s="135"/>
      <c r="AJ20" s="76">
        <f t="shared" si="11"/>
        <v>98711</v>
      </c>
      <c r="AK20" s="783">
        <f>AB20+AE20+AH20</f>
        <v>97038.29</v>
      </c>
      <c r="AL20" s="784">
        <f t="shared" si="151"/>
        <v>1672.71</v>
      </c>
      <c r="AM20" s="75">
        <f t="shared" si="12"/>
        <v>0</v>
      </c>
      <c r="AN20" s="134"/>
      <c r="AO20" s="135"/>
      <c r="AP20" s="75">
        <f t="shared" si="13"/>
        <v>154407</v>
      </c>
      <c r="AQ20" s="134">
        <f>152817-82.71</f>
        <v>152734.29</v>
      </c>
      <c r="AR20" s="135">
        <f>1590+82.71</f>
        <v>1672.71</v>
      </c>
      <c r="AS20" s="75">
        <f t="shared" si="14"/>
        <v>0</v>
      </c>
      <c r="AT20" s="134"/>
      <c r="AU20" s="135"/>
      <c r="AV20" s="415">
        <f t="shared" si="15"/>
        <v>154407</v>
      </c>
      <c r="AW20" s="786">
        <f>AN20+AQ20+AT20</f>
        <v>152734.29</v>
      </c>
      <c r="AX20" s="787">
        <f t="shared" si="152"/>
        <v>1672.71</v>
      </c>
      <c r="AY20" s="578">
        <f t="shared" si="66"/>
        <v>0</v>
      </c>
      <c r="AZ20" s="134"/>
      <c r="BA20" s="135"/>
      <c r="BB20" s="75">
        <f t="shared" si="17"/>
        <v>193938</v>
      </c>
      <c r="BC20" s="134">
        <f>(296893+10096)*0+(418695+35093)-BC19-BD20-565.05</f>
        <v>192168.59</v>
      </c>
      <c r="BD20" s="135">
        <f>1590+179.41</f>
        <v>1769.41</v>
      </c>
      <c r="BE20" s="75">
        <f t="shared" si="18"/>
        <v>0</v>
      </c>
      <c r="BF20" s="134"/>
      <c r="BG20" s="135"/>
      <c r="BH20" s="76">
        <f t="shared" si="19"/>
        <v>193938</v>
      </c>
      <c r="BI20" s="786">
        <f t="shared" si="160"/>
        <v>192168.59</v>
      </c>
      <c r="BJ20" s="788">
        <f t="shared" si="153"/>
        <v>1769.41</v>
      </c>
      <c r="BK20" s="578">
        <f t="shared" si="71"/>
        <v>0</v>
      </c>
      <c r="BL20" s="134"/>
      <c r="BM20" s="135"/>
      <c r="BN20" s="75">
        <f t="shared" si="21"/>
        <v>167000.76000000004</v>
      </c>
      <c r="BO20" s="134">
        <f>176857/5*12-BO19+('4. Investeeringud'!$L$6+'4. Investeeringud'!$L$46)*1</f>
        <v>165231.35000000003</v>
      </c>
      <c r="BP20" s="135">
        <f>BD20</f>
        <v>1769.41</v>
      </c>
      <c r="BQ20" s="75">
        <f t="shared" si="22"/>
        <v>0</v>
      </c>
      <c r="BR20" s="134"/>
      <c r="BS20" s="135"/>
      <c r="BT20" s="76">
        <f t="shared" si="23"/>
        <v>167000.76000000004</v>
      </c>
      <c r="BU20" s="786">
        <f t="shared" si="161"/>
        <v>165231.35000000003</v>
      </c>
      <c r="BV20" s="788">
        <f t="shared" si="154"/>
        <v>1769.41</v>
      </c>
      <c r="BW20" s="578">
        <f t="shared" si="131"/>
        <v>0</v>
      </c>
      <c r="BX20" s="134"/>
      <c r="BY20" s="135"/>
      <c r="BZ20" s="75">
        <f t="shared" si="132"/>
        <v>354013.08667128516</v>
      </c>
      <c r="CA20" s="134">
        <f>176857/5*12-CA19+('4. Investeeringud'!$L$6+'4. Investeeringud'!$L$46+'4. Investeeringud'!$O$6+'4. Investeeringud'!$O$46)*1</f>
        <v>352243.67667128518</v>
      </c>
      <c r="CB20" s="135">
        <f>BP20</f>
        <v>1769.41</v>
      </c>
      <c r="CC20" s="75">
        <f t="shared" si="133"/>
        <v>0</v>
      </c>
      <c r="CD20" s="134"/>
      <c r="CE20" s="135"/>
      <c r="CF20" s="76">
        <f t="shared" si="134"/>
        <v>354013.08667128516</v>
      </c>
      <c r="CG20" s="786">
        <f t="shared" si="162"/>
        <v>352243.67667128518</v>
      </c>
      <c r="CH20" s="788">
        <f t="shared" si="155"/>
        <v>1769.41</v>
      </c>
    </row>
    <row r="21" spans="1:86" s="101" customFormat="1">
      <c r="A21" s="114">
        <f>A17+1</f>
        <v>5</v>
      </c>
      <c r="B21" s="77" t="s">
        <v>251</v>
      </c>
      <c r="C21" s="579">
        <f t="shared" si="0"/>
        <v>0</v>
      </c>
      <c r="D21" s="122">
        <f>SUM(D22:D24)</f>
        <v>0</v>
      </c>
      <c r="E21" s="123">
        <f>SUM(E22:E24)</f>
        <v>0</v>
      </c>
      <c r="F21" s="124">
        <f t="shared" si="1"/>
        <v>0</v>
      </c>
      <c r="G21" s="122">
        <f>SUM(G22:G24)</f>
        <v>0</v>
      </c>
      <c r="H21" s="123">
        <f>SUM(H22:H24)</f>
        <v>0</v>
      </c>
      <c r="I21" s="124">
        <f t="shared" si="2"/>
        <v>0</v>
      </c>
      <c r="J21" s="122">
        <f>SUM(J22:J24)</f>
        <v>0</v>
      </c>
      <c r="K21" s="123">
        <f>SUM(K22:K24)</f>
        <v>0</v>
      </c>
      <c r="L21" s="416">
        <f t="shared" si="3"/>
        <v>0</v>
      </c>
      <c r="M21" s="78">
        <f>SUM(M22:M24)</f>
        <v>0</v>
      </c>
      <c r="N21" s="611">
        <f>SUM(N22:N24)</f>
        <v>0</v>
      </c>
      <c r="O21" s="124">
        <f t="shared" si="4"/>
        <v>0</v>
      </c>
      <c r="P21" s="122">
        <f>SUM(P22:P24)</f>
        <v>0</v>
      </c>
      <c r="Q21" s="123">
        <f>SUM(Q22:Q24)</f>
        <v>0</v>
      </c>
      <c r="R21" s="124">
        <f t="shared" si="5"/>
        <v>0</v>
      </c>
      <c r="S21" s="122">
        <f>SUM(S22:S24)</f>
        <v>0</v>
      </c>
      <c r="T21" s="123">
        <f>SUM(T22:T24)</f>
        <v>0</v>
      </c>
      <c r="U21" s="124">
        <f t="shared" si="6"/>
        <v>0</v>
      </c>
      <c r="V21" s="122">
        <f>SUM(V22:V24)</f>
        <v>0</v>
      </c>
      <c r="W21" s="123">
        <f>SUM(W22:W24)</f>
        <v>0</v>
      </c>
      <c r="X21" s="78">
        <f t="shared" si="7"/>
        <v>0</v>
      </c>
      <c r="Y21" s="78">
        <f>SUM(Y22:Y24)</f>
        <v>0</v>
      </c>
      <c r="Z21" s="620">
        <f>SUM(Z22:Z24)</f>
        <v>0</v>
      </c>
      <c r="AA21" s="579">
        <f t="shared" si="8"/>
        <v>0</v>
      </c>
      <c r="AB21" s="122">
        <f>SUM(AB22:AB24)</f>
        <v>0</v>
      </c>
      <c r="AC21" s="123">
        <f>SUM(AC22:AC24)</f>
        <v>0</v>
      </c>
      <c r="AD21" s="124">
        <f t="shared" si="9"/>
        <v>0</v>
      </c>
      <c r="AE21" s="122">
        <f>SUM(AE22:AE24)</f>
        <v>0</v>
      </c>
      <c r="AF21" s="123">
        <f>SUM(AF22:AF24)</f>
        <v>0</v>
      </c>
      <c r="AG21" s="124">
        <f t="shared" si="10"/>
        <v>0</v>
      </c>
      <c r="AH21" s="122">
        <f>SUM(AH22:AH24)</f>
        <v>0</v>
      </c>
      <c r="AI21" s="123">
        <f>SUM(AI22:AI24)</f>
        <v>0</v>
      </c>
      <c r="AJ21" s="78">
        <f t="shared" si="11"/>
        <v>0</v>
      </c>
      <c r="AK21" s="78">
        <f>SUM(AK22:AK24)</f>
        <v>0</v>
      </c>
      <c r="AL21" s="611">
        <f>SUM(AL22:AL24)</f>
        <v>0</v>
      </c>
      <c r="AM21" s="124">
        <f t="shared" si="12"/>
        <v>0</v>
      </c>
      <c r="AN21" s="122">
        <f>SUM(AN22:AN24)</f>
        <v>0</v>
      </c>
      <c r="AO21" s="123">
        <f>SUM(AO22:AO24)</f>
        <v>0</v>
      </c>
      <c r="AP21" s="124">
        <f t="shared" si="13"/>
        <v>0</v>
      </c>
      <c r="AQ21" s="122">
        <f>SUM(AQ22:AQ24)</f>
        <v>0</v>
      </c>
      <c r="AR21" s="123">
        <f>SUM(AR22:AR24)</f>
        <v>0</v>
      </c>
      <c r="AS21" s="124">
        <f t="shared" si="14"/>
        <v>0</v>
      </c>
      <c r="AT21" s="122">
        <f>SUM(AT22:AT24)</f>
        <v>0</v>
      </c>
      <c r="AU21" s="123">
        <f>SUM(AU22:AU24)</f>
        <v>0</v>
      </c>
      <c r="AV21" s="416">
        <f t="shared" si="15"/>
        <v>0</v>
      </c>
      <c r="AW21" s="622">
        <f>SUM(AW22:AW24)</f>
        <v>0</v>
      </c>
      <c r="AX21" s="623">
        <f>SUM(AX22:AX24)</f>
        <v>0</v>
      </c>
      <c r="AY21" s="579">
        <f t="shared" si="66"/>
        <v>0</v>
      </c>
      <c r="AZ21" s="122">
        <f>SUM(AZ22:AZ24)</f>
        <v>0</v>
      </c>
      <c r="BA21" s="123">
        <f>SUM(BA22:BA24)</f>
        <v>0</v>
      </c>
      <c r="BB21" s="124">
        <f t="shared" si="17"/>
        <v>231100</v>
      </c>
      <c r="BC21" s="122">
        <f>SUM(BC22:BC24)</f>
        <v>231100</v>
      </c>
      <c r="BD21" s="123">
        <f>SUM(BD22:BD24)</f>
        <v>0</v>
      </c>
      <c r="BE21" s="124">
        <f t="shared" si="18"/>
        <v>0</v>
      </c>
      <c r="BF21" s="122">
        <f>SUM(BF22:BF24)</f>
        <v>0</v>
      </c>
      <c r="BG21" s="123">
        <f>SUM(BG22:BG24)</f>
        <v>0</v>
      </c>
      <c r="BH21" s="78">
        <f t="shared" si="19"/>
        <v>231100</v>
      </c>
      <c r="BI21" s="622">
        <f>SUM(BI22:BI24)</f>
        <v>231100</v>
      </c>
      <c r="BJ21" s="626">
        <f>SUM(BJ22:BJ24)</f>
        <v>0</v>
      </c>
      <c r="BK21" s="579">
        <f t="shared" si="71"/>
        <v>0</v>
      </c>
      <c r="BL21" s="122">
        <f>SUM(BL22:BL24)</f>
        <v>0</v>
      </c>
      <c r="BM21" s="123">
        <f>SUM(BM22:BM24)</f>
        <v>0</v>
      </c>
      <c r="BN21" s="124">
        <f t="shared" si="21"/>
        <v>0</v>
      </c>
      <c r="BO21" s="122">
        <f>SUM(BO22:BO24)</f>
        <v>0</v>
      </c>
      <c r="BP21" s="123">
        <f>SUM(BP22:BP24)</f>
        <v>0</v>
      </c>
      <c r="BQ21" s="124">
        <f t="shared" si="22"/>
        <v>0</v>
      </c>
      <c r="BR21" s="122">
        <f>SUM(BR22:BR24)</f>
        <v>0</v>
      </c>
      <c r="BS21" s="123">
        <f>SUM(BS22:BS24)</f>
        <v>0</v>
      </c>
      <c r="BT21" s="78">
        <f t="shared" si="23"/>
        <v>0</v>
      </c>
      <c r="BU21" s="622">
        <f>SUM(BU22:BU24)</f>
        <v>0</v>
      </c>
      <c r="BV21" s="626">
        <f>SUM(BV22:BV24)</f>
        <v>0</v>
      </c>
      <c r="BW21" s="579">
        <f t="shared" si="131"/>
        <v>0</v>
      </c>
      <c r="BX21" s="122">
        <f>SUM(BX22:BX24)</f>
        <v>0</v>
      </c>
      <c r="BY21" s="123">
        <f>SUM(BY22:BY24)</f>
        <v>0</v>
      </c>
      <c r="BZ21" s="124">
        <f t="shared" si="132"/>
        <v>0</v>
      </c>
      <c r="CA21" s="122">
        <f>SUM(CA22:CA24)</f>
        <v>0</v>
      </c>
      <c r="CB21" s="123">
        <f>SUM(CB22:CB24)</f>
        <v>0</v>
      </c>
      <c r="CC21" s="124">
        <f t="shared" si="133"/>
        <v>0</v>
      </c>
      <c r="CD21" s="122">
        <f>SUM(CD22:CD24)</f>
        <v>0</v>
      </c>
      <c r="CE21" s="123">
        <f>SUM(CE22:CE24)</f>
        <v>0</v>
      </c>
      <c r="CF21" s="78">
        <f t="shared" si="134"/>
        <v>0</v>
      </c>
      <c r="CG21" s="622">
        <f>SUM(CG22:CG24)</f>
        <v>0</v>
      </c>
      <c r="CH21" s="626">
        <f>SUM(CH22:CH24)</f>
        <v>0</v>
      </c>
    </row>
    <row r="22" spans="1:86" s="68" customFormat="1">
      <c r="A22" s="115" t="s">
        <v>281</v>
      </c>
      <c r="B22" s="79" t="s">
        <v>218</v>
      </c>
      <c r="C22" s="580">
        <f t="shared" si="0"/>
        <v>0</v>
      </c>
      <c r="D22" s="132"/>
      <c r="E22" s="133"/>
      <c r="F22" s="80">
        <f t="shared" si="1"/>
        <v>0</v>
      </c>
      <c r="G22" s="132"/>
      <c r="H22" s="133"/>
      <c r="I22" s="80">
        <f t="shared" si="2"/>
        <v>0</v>
      </c>
      <c r="J22" s="132"/>
      <c r="K22" s="133"/>
      <c r="L22" s="417">
        <f t="shared" si="3"/>
        <v>0</v>
      </c>
      <c r="M22" s="81">
        <f>D22+G22+J22</f>
        <v>0</v>
      </c>
      <c r="N22" s="612">
        <f t="shared" ref="N22:N24" si="163">E22+H22+K22</f>
        <v>0</v>
      </c>
      <c r="O22" s="80">
        <f t="shared" si="4"/>
        <v>0</v>
      </c>
      <c r="P22" s="132"/>
      <c r="Q22" s="133"/>
      <c r="R22" s="80">
        <f t="shared" si="5"/>
        <v>0</v>
      </c>
      <c r="S22" s="132"/>
      <c r="T22" s="133"/>
      <c r="U22" s="80">
        <f t="shared" si="6"/>
        <v>0</v>
      </c>
      <c r="V22" s="132"/>
      <c r="W22" s="133"/>
      <c r="X22" s="81">
        <f t="shared" si="7"/>
        <v>0</v>
      </c>
      <c r="Y22" s="81">
        <f>P22+S22+V22</f>
        <v>0</v>
      </c>
      <c r="Z22" s="561">
        <f t="shared" ref="Z22:Z24" si="164">Q22+T22+W22</f>
        <v>0</v>
      </c>
      <c r="AA22" s="580">
        <f t="shared" si="8"/>
        <v>0</v>
      </c>
      <c r="AB22" s="132"/>
      <c r="AC22" s="133"/>
      <c r="AD22" s="80">
        <f t="shared" si="9"/>
        <v>0</v>
      </c>
      <c r="AE22" s="132"/>
      <c r="AF22" s="133"/>
      <c r="AG22" s="80">
        <f t="shared" si="10"/>
        <v>0</v>
      </c>
      <c r="AH22" s="132"/>
      <c r="AI22" s="133"/>
      <c r="AJ22" s="81">
        <f t="shared" si="11"/>
        <v>0</v>
      </c>
      <c r="AK22" s="81">
        <f>AB22+AE22+AH22</f>
        <v>0</v>
      </c>
      <c r="AL22" s="612">
        <f t="shared" ref="AL22:AL24" si="165">AC22+AF22+AI22</f>
        <v>0</v>
      </c>
      <c r="AM22" s="80">
        <f t="shared" si="12"/>
        <v>0</v>
      </c>
      <c r="AN22" s="132"/>
      <c r="AO22" s="133"/>
      <c r="AP22" s="80">
        <f t="shared" si="13"/>
        <v>0</v>
      </c>
      <c r="AQ22" s="132"/>
      <c r="AR22" s="133"/>
      <c r="AS22" s="80">
        <f t="shared" si="14"/>
        <v>0</v>
      </c>
      <c r="AT22" s="132"/>
      <c r="AU22" s="133"/>
      <c r="AV22" s="417">
        <f t="shared" si="15"/>
        <v>0</v>
      </c>
      <c r="AW22" s="81">
        <f>AN22+AQ22+AT22</f>
        <v>0</v>
      </c>
      <c r="AX22" s="561">
        <f t="shared" ref="AX22:AX24" si="166">AO22+AR22+AU22</f>
        <v>0</v>
      </c>
      <c r="AY22" s="580">
        <f t="shared" si="66"/>
        <v>0</v>
      </c>
      <c r="AZ22" s="132"/>
      <c r="BA22" s="133"/>
      <c r="BB22" s="80">
        <f t="shared" si="17"/>
        <v>0</v>
      </c>
      <c r="BC22" s="132"/>
      <c r="BD22" s="133"/>
      <c r="BE22" s="80">
        <f t="shared" si="18"/>
        <v>0</v>
      </c>
      <c r="BF22" s="132"/>
      <c r="BG22" s="133"/>
      <c r="BH22" s="81">
        <f t="shared" si="19"/>
        <v>0</v>
      </c>
      <c r="BI22" s="82">
        <f>AZ22+BC22+BF22</f>
        <v>0</v>
      </c>
      <c r="BJ22" s="581">
        <f t="shared" ref="BJ22:BJ24" si="167">BA22+BD22+BG22</f>
        <v>0</v>
      </c>
      <c r="BK22" s="580">
        <f t="shared" si="71"/>
        <v>0</v>
      </c>
      <c r="BL22" s="132"/>
      <c r="BM22" s="133"/>
      <c r="BN22" s="80">
        <f t="shared" si="21"/>
        <v>0</v>
      </c>
      <c r="BO22" s="132"/>
      <c r="BP22" s="133"/>
      <c r="BQ22" s="80">
        <f t="shared" si="22"/>
        <v>0</v>
      </c>
      <c r="BR22" s="132"/>
      <c r="BS22" s="133"/>
      <c r="BT22" s="81">
        <f t="shared" si="23"/>
        <v>0</v>
      </c>
      <c r="BU22" s="82">
        <f>BL22+BO22+BR22</f>
        <v>0</v>
      </c>
      <c r="BV22" s="581">
        <f t="shared" ref="BV22:BV24" si="168">BM22+BP22+BS22</f>
        <v>0</v>
      </c>
      <c r="BW22" s="580">
        <f t="shared" si="131"/>
        <v>0</v>
      </c>
      <c r="BX22" s="132"/>
      <c r="BY22" s="133"/>
      <c r="BZ22" s="80">
        <f t="shared" si="132"/>
        <v>0</v>
      </c>
      <c r="CA22" s="132"/>
      <c r="CB22" s="133"/>
      <c r="CC22" s="80">
        <f t="shared" si="133"/>
        <v>0</v>
      </c>
      <c r="CD22" s="132"/>
      <c r="CE22" s="133"/>
      <c r="CF22" s="81">
        <f t="shared" si="134"/>
        <v>0</v>
      </c>
      <c r="CG22" s="82">
        <f>BX22+CA22+CD22</f>
        <v>0</v>
      </c>
      <c r="CH22" s="581">
        <f t="shared" ref="CH22:CH24" si="169">BY22+CB22+CE22</f>
        <v>0</v>
      </c>
    </row>
    <row r="23" spans="1:86" s="68" customFormat="1">
      <c r="A23" s="115" t="s">
        <v>282</v>
      </c>
      <c r="B23" s="83" t="s">
        <v>216</v>
      </c>
      <c r="C23" s="580">
        <f t="shared" si="0"/>
        <v>0</v>
      </c>
      <c r="D23" s="132"/>
      <c r="E23" s="133"/>
      <c r="F23" s="80">
        <f t="shared" si="1"/>
        <v>0</v>
      </c>
      <c r="G23" s="132"/>
      <c r="H23" s="133"/>
      <c r="I23" s="80">
        <f t="shared" si="2"/>
        <v>0</v>
      </c>
      <c r="J23" s="132"/>
      <c r="K23" s="133"/>
      <c r="L23" s="417">
        <f t="shared" si="3"/>
        <v>0</v>
      </c>
      <c r="M23" s="81">
        <f t="shared" ref="M23:M24" si="170">D23+G23+J23</f>
        <v>0</v>
      </c>
      <c r="N23" s="612">
        <f t="shared" si="163"/>
        <v>0</v>
      </c>
      <c r="O23" s="80">
        <f t="shared" si="4"/>
        <v>0</v>
      </c>
      <c r="P23" s="132"/>
      <c r="Q23" s="133"/>
      <c r="R23" s="80">
        <f t="shared" si="5"/>
        <v>0</v>
      </c>
      <c r="S23" s="132"/>
      <c r="T23" s="133"/>
      <c r="U23" s="80">
        <f t="shared" si="6"/>
        <v>0</v>
      </c>
      <c r="V23" s="132"/>
      <c r="W23" s="133"/>
      <c r="X23" s="81">
        <f t="shared" si="7"/>
        <v>0</v>
      </c>
      <c r="Y23" s="81">
        <f t="shared" ref="Y23:Y24" si="171">P23+S23+V23</f>
        <v>0</v>
      </c>
      <c r="Z23" s="561">
        <f t="shared" si="164"/>
        <v>0</v>
      </c>
      <c r="AA23" s="580">
        <f t="shared" si="8"/>
        <v>0</v>
      </c>
      <c r="AB23" s="132"/>
      <c r="AC23" s="133"/>
      <c r="AD23" s="80">
        <f t="shared" si="9"/>
        <v>0</v>
      </c>
      <c r="AE23" s="132"/>
      <c r="AF23" s="133"/>
      <c r="AG23" s="80">
        <f t="shared" si="10"/>
        <v>0</v>
      </c>
      <c r="AH23" s="132"/>
      <c r="AI23" s="133"/>
      <c r="AJ23" s="81">
        <f t="shared" si="11"/>
        <v>0</v>
      </c>
      <c r="AK23" s="81">
        <f t="shared" ref="AK23:AK24" si="172">AB23+AE23+AH23</f>
        <v>0</v>
      </c>
      <c r="AL23" s="612">
        <f t="shared" si="165"/>
        <v>0</v>
      </c>
      <c r="AM23" s="80">
        <f t="shared" si="12"/>
        <v>0</v>
      </c>
      <c r="AN23" s="132"/>
      <c r="AO23" s="133"/>
      <c r="AP23" s="80">
        <f t="shared" si="13"/>
        <v>0</v>
      </c>
      <c r="AQ23" s="132"/>
      <c r="AR23" s="133"/>
      <c r="AS23" s="80">
        <f t="shared" si="14"/>
        <v>0</v>
      </c>
      <c r="AT23" s="132"/>
      <c r="AU23" s="133"/>
      <c r="AV23" s="417">
        <f t="shared" si="15"/>
        <v>0</v>
      </c>
      <c r="AW23" s="81">
        <f t="shared" ref="AW23:AW24" si="173">AN23+AQ23+AT23</f>
        <v>0</v>
      </c>
      <c r="AX23" s="561">
        <f t="shared" si="166"/>
        <v>0</v>
      </c>
      <c r="AY23" s="580">
        <f t="shared" si="66"/>
        <v>0</v>
      </c>
      <c r="AZ23" s="132"/>
      <c r="BA23" s="133"/>
      <c r="BB23" s="80">
        <f t="shared" si="17"/>
        <v>0</v>
      </c>
      <c r="BC23" s="132"/>
      <c r="BD23" s="133"/>
      <c r="BE23" s="80">
        <f t="shared" si="18"/>
        <v>0</v>
      </c>
      <c r="BF23" s="132"/>
      <c r="BG23" s="133"/>
      <c r="BH23" s="81">
        <f t="shared" si="19"/>
        <v>0</v>
      </c>
      <c r="BI23" s="82">
        <f t="shared" ref="BI23:BI24" si="174">AZ23+BC23+BF23</f>
        <v>0</v>
      </c>
      <c r="BJ23" s="581">
        <f t="shared" si="167"/>
        <v>0</v>
      </c>
      <c r="BK23" s="580">
        <f t="shared" si="71"/>
        <v>0</v>
      </c>
      <c r="BL23" s="132"/>
      <c r="BM23" s="133"/>
      <c r="BN23" s="80">
        <f t="shared" si="21"/>
        <v>0</v>
      </c>
      <c r="BO23" s="132"/>
      <c r="BP23" s="133"/>
      <c r="BQ23" s="80">
        <f t="shared" si="22"/>
        <v>0</v>
      </c>
      <c r="BR23" s="132"/>
      <c r="BS23" s="133"/>
      <c r="BT23" s="81">
        <f t="shared" si="23"/>
        <v>0</v>
      </c>
      <c r="BU23" s="82">
        <f t="shared" ref="BU23:BU24" si="175">BL23+BO23+BR23</f>
        <v>0</v>
      </c>
      <c r="BV23" s="581">
        <f t="shared" si="168"/>
        <v>0</v>
      </c>
      <c r="BW23" s="580">
        <f t="shared" si="131"/>
        <v>0</v>
      </c>
      <c r="BX23" s="132"/>
      <c r="BY23" s="133"/>
      <c r="BZ23" s="80">
        <f t="shared" si="132"/>
        <v>0</v>
      </c>
      <c r="CA23" s="132"/>
      <c r="CB23" s="133"/>
      <c r="CC23" s="80">
        <f t="shared" si="133"/>
        <v>0</v>
      </c>
      <c r="CD23" s="132"/>
      <c r="CE23" s="133"/>
      <c r="CF23" s="81">
        <f t="shared" si="134"/>
        <v>0</v>
      </c>
      <c r="CG23" s="82">
        <f t="shared" ref="CG23:CG24" si="176">BX23+CA23+CD23</f>
        <v>0</v>
      </c>
      <c r="CH23" s="581">
        <f t="shared" si="169"/>
        <v>0</v>
      </c>
    </row>
    <row r="24" spans="1:86" s="68" customFormat="1">
      <c r="A24" s="115" t="s">
        <v>283</v>
      </c>
      <c r="B24" s="84" t="s">
        <v>217</v>
      </c>
      <c r="C24" s="580">
        <f t="shared" si="0"/>
        <v>0</v>
      </c>
      <c r="D24" s="132"/>
      <c r="E24" s="133"/>
      <c r="F24" s="80">
        <f t="shared" si="1"/>
        <v>0</v>
      </c>
      <c r="G24" s="132"/>
      <c r="H24" s="133"/>
      <c r="I24" s="80">
        <f t="shared" si="2"/>
        <v>0</v>
      </c>
      <c r="J24" s="132"/>
      <c r="K24" s="133"/>
      <c r="L24" s="417">
        <f t="shared" si="3"/>
        <v>0</v>
      </c>
      <c r="M24" s="81">
        <f t="shared" si="170"/>
        <v>0</v>
      </c>
      <c r="N24" s="612">
        <f t="shared" si="163"/>
        <v>0</v>
      </c>
      <c r="O24" s="80">
        <f t="shared" si="4"/>
        <v>0</v>
      </c>
      <c r="P24" s="132"/>
      <c r="Q24" s="133"/>
      <c r="R24" s="80">
        <f t="shared" si="5"/>
        <v>0</v>
      </c>
      <c r="S24" s="132"/>
      <c r="T24" s="133"/>
      <c r="U24" s="80">
        <f t="shared" si="6"/>
        <v>0</v>
      </c>
      <c r="V24" s="132"/>
      <c r="W24" s="133"/>
      <c r="X24" s="81">
        <f t="shared" si="7"/>
        <v>0</v>
      </c>
      <c r="Y24" s="81">
        <f t="shared" si="171"/>
        <v>0</v>
      </c>
      <c r="Z24" s="561">
        <f t="shared" si="164"/>
        <v>0</v>
      </c>
      <c r="AA24" s="580">
        <f t="shared" si="8"/>
        <v>0</v>
      </c>
      <c r="AB24" s="132"/>
      <c r="AC24" s="133"/>
      <c r="AD24" s="80">
        <f t="shared" si="9"/>
        <v>0</v>
      </c>
      <c r="AE24" s="132"/>
      <c r="AF24" s="133"/>
      <c r="AG24" s="80">
        <f t="shared" si="10"/>
        <v>0</v>
      </c>
      <c r="AH24" s="132"/>
      <c r="AI24" s="133"/>
      <c r="AJ24" s="81">
        <f t="shared" si="11"/>
        <v>0</v>
      </c>
      <c r="AK24" s="81">
        <f t="shared" si="172"/>
        <v>0</v>
      </c>
      <c r="AL24" s="612">
        <f t="shared" si="165"/>
        <v>0</v>
      </c>
      <c r="AM24" s="80">
        <f t="shared" si="12"/>
        <v>0</v>
      </c>
      <c r="AN24" s="132"/>
      <c r="AO24" s="133"/>
      <c r="AP24" s="80">
        <f t="shared" si="13"/>
        <v>0</v>
      </c>
      <c r="AQ24" s="132"/>
      <c r="AR24" s="133"/>
      <c r="AS24" s="80">
        <f t="shared" si="14"/>
        <v>0</v>
      </c>
      <c r="AT24" s="132"/>
      <c r="AU24" s="133"/>
      <c r="AV24" s="417">
        <f t="shared" si="15"/>
        <v>0</v>
      </c>
      <c r="AW24" s="81">
        <f t="shared" si="173"/>
        <v>0</v>
      </c>
      <c r="AX24" s="561">
        <f t="shared" si="166"/>
        <v>0</v>
      </c>
      <c r="AY24" s="580">
        <f t="shared" si="66"/>
        <v>0</v>
      </c>
      <c r="AZ24" s="132"/>
      <c r="BA24" s="133"/>
      <c r="BB24" s="80">
        <f t="shared" si="17"/>
        <v>231100</v>
      </c>
      <c r="BC24" s="132">
        <f>121802+24997+BC28</f>
        <v>231100</v>
      </c>
      <c r="BD24" s="133"/>
      <c r="BE24" s="80">
        <f t="shared" si="18"/>
        <v>0</v>
      </c>
      <c r="BF24" s="132"/>
      <c r="BG24" s="133"/>
      <c r="BH24" s="81">
        <f t="shared" si="19"/>
        <v>231100</v>
      </c>
      <c r="BI24" s="82">
        <f t="shared" si="174"/>
        <v>231100</v>
      </c>
      <c r="BJ24" s="581">
        <f t="shared" si="167"/>
        <v>0</v>
      </c>
      <c r="BK24" s="580">
        <f t="shared" si="71"/>
        <v>0</v>
      </c>
      <c r="BL24" s="132"/>
      <c r="BM24" s="133"/>
      <c r="BN24" s="80">
        <f t="shared" si="21"/>
        <v>0</v>
      </c>
      <c r="BO24" s="132"/>
      <c r="BP24" s="133"/>
      <c r="BQ24" s="80">
        <f t="shared" si="22"/>
        <v>0</v>
      </c>
      <c r="BR24" s="132"/>
      <c r="BS24" s="133"/>
      <c r="BT24" s="81">
        <f t="shared" si="23"/>
        <v>0</v>
      </c>
      <c r="BU24" s="82">
        <f t="shared" si="175"/>
        <v>0</v>
      </c>
      <c r="BV24" s="581">
        <f t="shared" si="168"/>
        <v>0</v>
      </c>
      <c r="BW24" s="580">
        <f t="shared" si="131"/>
        <v>0</v>
      </c>
      <c r="BX24" s="132"/>
      <c r="BY24" s="133"/>
      <c r="BZ24" s="80">
        <f t="shared" si="132"/>
        <v>0</v>
      </c>
      <c r="CA24" s="132"/>
      <c r="CB24" s="133"/>
      <c r="CC24" s="80">
        <f t="shared" si="133"/>
        <v>0</v>
      </c>
      <c r="CD24" s="132"/>
      <c r="CE24" s="133"/>
      <c r="CF24" s="81">
        <f t="shared" si="134"/>
        <v>0</v>
      </c>
      <c r="CG24" s="82">
        <f t="shared" si="176"/>
        <v>0</v>
      </c>
      <c r="CH24" s="581">
        <f t="shared" si="169"/>
        <v>0</v>
      </c>
    </row>
    <row r="25" spans="1:86" s="101" customFormat="1">
      <c r="A25" s="109">
        <f>A21+1</f>
        <v>6</v>
      </c>
      <c r="B25" s="47" t="s">
        <v>252</v>
      </c>
      <c r="C25" s="570">
        <f t="shared" si="0"/>
        <v>0</v>
      </c>
      <c r="D25" s="48">
        <f>SUM(D26:D28)</f>
        <v>0</v>
      </c>
      <c r="E25" s="49">
        <f>SUM(E26:E28)</f>
        <v>0</v>
      </c>
      <c r="F25" s="50">
        <f t="shared" si="1"/>
        <v>0</v>
      </c>
      <c r="G25" s="48">
        <f>SUM(G26:G28)</f>
        <v>0</v>
      </c>
      <c r="H25" s="49">
        <f>SUM(H26:H28)</f>
        <v>0</v>
      </c>
      <c r="I25" s="50">
        <f t="shared" si="2"/>
        <v>0</v>
      </c>
      <c r="J25" s="48">
        <f>SUM(J26:J28)</f>
        <v>0</v>
      </c>
      <c r="K25" s="49">
        <f>SUM(K26:K28)</f>
        <v>0</v>
      </c>
      <c r="L25" s="411">
        <f t="shared" si="3"/>
        <v>0</v>
      </c>
      <c r="M25" s="54">
        <f>SUM(M26:M28)</f>
        <v>0</v>
      </c>
      <c r="N25" s="613">
        <f>SUM(N26:N28)</f>
        <v>0</v>
      </c>
      <c r="O25" s="50">
        <f t="shared" si="4"/>
        <v>0</v>
      </c>
      <c r="P25" s="48">
        <f>SUM(P26:P28)</f>
        <v>0</v>
      </c>
      <c r="Q25" s="49">
        <f>SUM(Q26:Q28)</f>
        <v>0</v>
      </c>
      <c r="R25" s="50">
        <f t="shared" si="5"/>
        <v>0</v>
      </c>
      <c r="S25" s="48">
        <f>SUM(S26:S28)</f>
        <v>0</v>
      </c>
      <c r="T25" s="49">
        <f>SUM(T26:T28)</f>
        <v>0</v>
      </c>
      <c r="U25" s="50">
        <f t="shared" si="6"/>
        <v>0</v>
      </c>
      <c r="V25" s="48">
        <f>SUM(V26:V28)</f>
        <v>0</v>
      </c>
      <c r="W25" s="49">
        <f>SUM(W26:W28)</f>
        <v>0</v>
      </c>
      <c r="X25" s="54">
        <f t="shared" si="7"/>
        <v>0</v>
      </c>
      <c r="Y25" s="54">
        <f>SUM(Y26:Y28)</f>
        <v>0</v>
      </c>
      <c r="Z25" s="621">
        <f>SUM(Z26:Z28)</f>
        <v>0</v>
      </c>
      <c r="AA25" s="570">
        <f t="shared" si="8"/>
        <v>0</v>
      </c>
      <c r="AB25" s="48">
        <f>SUM(AB26:AB28)</f>
        <v>0</v>
      </c>
      <c r="AC25" s="49">
        <f>SUM(AC26:AC28)</f>
        <v>0</v>
      </c>
      <c r="AD25" s="50">
        <f t="shared" si="9"/>
        <v>0</v>
      </c>
      <c r="AE25" s="48">
        <f>SUM(AE26:AE28)</f>
        <v>0</v>
      </c>
      <c r="AF25" s="49">
        <f>SUM(AF26:AF28)</f>
        <v>0</v>
      </c>
      <c r="AG25" s="50">
        <f t="shared" si="10"/>
        <v>0</v>
      </c>
      <c r="AH25" s="48">
        <f>SUM(AH26:AH28)</f>
        <v>0</v>
      </c>
      <c r="AI25" s="49">
        <f>SUM(AI26:AI28)</f>
        <v>0</v>
      </c>
      <c r="AJ25" s="54">
        <f t="shared" si="11"/>
        <v>0</v>
      </c>
      <c r="AK25" s="54">
        <f>SUM(AK26:AK28)</f>
        <v>0</v>
      </c>
      <c r="AL25" s="613">
        <f>SUM(AL26:AL28)</f>
        <v>0</v>
      </c>
      <c r="AM25" s="50">
        <f t="shared" si="12"/>
        <v>0</v>
      </c>
      <c r="AN25" s="48">
        <f>SUM(AN26:AN28)</f>
        <v>0</v>
      </c>
      <c r="AO25" s="49">
        <f>SUM(AO26:AO28)</f>
        <v>0</v>
      </c>
      <c r="AP25" s="50">
        <f t="shared" si="13"/>
        <v>0</v>
      </c>
      <c r="AQ25" s="48">
        <f>SUM(AQ26:AQ28)</f>
        <v>0</v>
      </c>
      <c r="AR25" s="49">
        <f>SUM(AR26:AR28)</f>
        <v>0</v>
      </c>
      <c r="AS25" s="50">
        <f t="shared" si="14"/>
        <v>0</v>
      </c>
      <c r="AT25" s="48">
        <f>SUM(AT26:AT28)</f>
        <v>0</v>
      </c>
      <c r="AU25" s="49">
        <f>SUM(AU26:AU28)</f>
        <v>0</v>
      </c>
      <c r="AV25" s="411">
        <f t="shared" si="15"/>
        <v>0</v>
      </c>
      <c r="AW25" s="55">
        <f>SUM(AW26:AW28)</f>
        <v>0</v>
      </c>
      <c r="AX25" s="557">
        <f>SUM(AX26:AX28)</f>
        <v>0</v>
      </c>
      <c r="AY25" s="570">
        <f t="shared" si="66"/>
        <v>0</v>
      </c>
      <c r="AZ25" s="48">
        <f>SUM(AZ26:AZ28)</f>
        <v>0</v>
      </c>
      <c r="BA25" s="49">
        <f>SUM(BA26:BA28)</f>
        <v>0</v>
      </c>
      <c r="BB25" s="50">
        <f t="shared" si="17"/>
        <v>84301</v>
      </c>
      <c r="BC25" s="48">
        <f>SUM(BC26:BC28)</f>
        <v>84301</v>
      </c>
      <c r="BD25" s="49">
        <f>SUM(BD26:BD28)</f>
        <v>0</v>
      </c>
      <c r="BE25" s="50">
        <f t="shared" si="18"/>
        <v>0</v>
      </c>
      <c r="BF25" s="48">
        <f>SUM(BF26:BF28)</f>
        <v>0</v>
      </c>
      <c r="BG25" s="49">
        <f>SUM(BG26:BG28)</f>
        <v>0</v>
      </c>
      <c r="BH25" s="54">
        <f t="shared" si="19"/>
        <v>84301</v>
      </c>
      <c r="BI25" s="1495">
        <f>SUM(BI26:BI28)</f>
        <v>84301</v>
      </c>
      <c r="BJ25" s="571">
        <f>SUM(BJ26:BJ28)</f>
        <v>0</v>
      </c>
      <c r="BK25" s="570">
        <f t="shared" si="71"/>
        <v>0</v>
      </c>
      <c r="BL25" s="48">
        <f>SUM(BL26:BL28)</f>
        <v>0</v>
      </c>
      <c r="BM25" s="49">
        <f>SUM(BM26:BM28)</f>
        <v>0</v>
      </c>
      <c r="BN25" s="50">
        <f t="shared" si="21"/>
        <v>0</v>
      </c>
      <c r="BO25" s="48">
        <f>SUM(BO26:BO28)</f>
        <v>0</v>
      </c>
      <c r="BP25" s="49">
        <f>SUM(BP26:BP28)</f>
        <v>0</v>
      </c>
      <c r="BQ25" s="50">
        <f t="shared" si="22"/>
        <v>0</v>
      </c>
      <c r="BR25" s="48">
        <f>SUM(BR26:BR28)</f>
        <v>0</v>
      </c>
      <c r="BS25" s="49">
        <f>SUM(BS26:BS28)</f>
        <v>0</v>
      </c>
      <c r="BT25" s="54">
        <f t="shared" si="23"/>
        <v>0</v>
      </c>
      <c r="BU25" s="55">
        <f>SUM(BU26:BU28)</f>
        <v>0</v>
      </c>
      <c r="BV25" s="571">
        <f>SUM(BV26:BV28)</f>
        <v>0</v>
      </c>
      <c r="BW25" s="570">
        <f t="shared" si="131"/>
        <v>0</v>
      </c>
      <c r="BX25" s="48">
        <f>SUM(BX26:BX28)</f>
        <v>0</v>
      </c>
      <c r="BY25" s="49">
        <f>SUM(BY26:BY28)</f>
        <v>0</v>
      </c>
      <c r="BZ25" s="50">
        <f t="shared" si="132"/>
        <v>0</v>
      </c>
      <c r="CA25" s="48">
        <f>SUM(CA26:CA28)</f>
        <v>0</v>
      </c>
      <c r="CB25" s="49">
        <f>SUM(CB26:CB28)</f>
        <v>0</v>
      </c>
      <c r="CC25" s="50">
        <f t="shared" si="133"/>
        <v>0</v>
      </c>
      <c r="CD25" s="48">
        <f>SUM(CD26:CD28)</f>
        <v>0</v>
      </c>
      <c r="CE25" s="49">
        <f>SUM(CE26:CE28)</f>
        <v>0</v>
      </c>
      <c r="CF25" s="54">
        <f t="shared" si="134"/>
        <v>0</v>
      </c>
      <c r="CG25" s="55">
        <f>SUM(CG26:CG28)</f>
        <v>0</v>
      </c>
      <c r="CH25" s="571">
        <f>SUM(CH26:CH28)</f>
        <v>0</v>
      </c>
    </row>
    <row r="26" spans="1:86" s="68" customFormat="1">
      <c r="A26" s="116" t="s">
        <v>284</v>
      </c>
      <c r="B26" s="85" t="s">
        <v>218</v>
      </c>
      <c r="C26" s="582">
        <f t="shared" si="0"/>
        <v>0</v>
      </c>
      <c r="D26" s="132"/>
      <c r="E26" s="133"/>
      <c r="F26" s="86">
        <f t="shared" si="1"/>
        <v>0</v>
      </c>
      <c r="G26" s="132"/>
      <c r="H26" s="133"/>
      <c r="I26" s="86">
        <f t="shared" si="2"/>
        <v>0</v>
      </c>
      <c r="J26" s="132"/>
      <c r="K26" s="133"/>
      <c r="L26" s="418">
        <f t="shared" si="3"/>
        <v>0</v>
      </c>
      <c r="M26" s="88">
        <f>D26+G26+J26</f>
        <v>0</v>
      </c>
      <c r="N26" s="583">
        <f t="shared" ref="N26:N28" si="177">E26+H26+K26</f>
        <v>0</v>
      </c>
      <c r="O26" s="86">
        <f t="shared" si="4"/>
        <v>0</v>
      </c>
      <c r="P26" s="132"/>
      <c r="Q26" s="133"/>
      <c r="R26" s="86">
        <f t="shared" si="5"/>
        <v>0</v>
      </c>
      <c r="S26" s="132"/>
      <c r="T26" s="133"/>
      <c r="U26" s="86">
        <f t="shared" si="6"/>
        <v>0</v>
      </c>
      <c r="V26" s="132"/>
      <c r="W26" s="133"/>
      <c r="X26" s="87">
        <f t="shared" si="7"/>
        <v>0</v>
      </c>
      <c r="Y26" s="88">
        <f>P26+S26+V26</f>
        <v>0</v>
      </c>
      <c r="Z26" s="562">
        <f t="shared" ref="Z26:Z28" si="178">Q26+T26+W26</f>
        <v>0</v>
      </c>
      <c r="AA26" s="582">
        <f t="shared" si="8"/>
        <v>0</v>
      </c>
      <c r="AB26" s="132"/>
      <c r="AC26" s="133"/>
      <c r="AD26" s="86">
        <f t="shared" si="9"/>
        <v>0</v>
      </c>
      <c r="AE26" s="132"/>
      <c r="AF26" s="133"/>
      <c r="AG26" s="86">
        <f t="shared" si="10"/>
        <v>0</v>
      </c>
      <c r="AH26" s="132"/>
      <c r="AI26" s="133"/>
      <c r="AJ26" s="87">
        <f t="shared" si="11"/>
        <v>0</v>
      </c>
      <c r="AK26" s="88">
        <f>AB26+AE26+AH26</f>
        <v>0</v>
      </c>
      <c r="AL26" s="583">
        <f t="shared" ref="AL26:AL28" si="179">AC26+AF26+AI26</f>
        <v>0</v>
      </c>
      <c r="AM26" s="86">
        <f t="shared" si="12"/>
        <v>0</v>
      </c>
      <c r="AN26" s="132"/>
      <c r="AO26" s="133"/>
      <c r="AP26" s="86">
        <f t="shared" si="13"/>
        <v>0</v>
      </c>
      <c r="AQ26" s="132"/>
      <c r="AR26" s="133"/>
      <c r="AS26" s="86">
        <f t="shared" si="14"/>
        <v>0</v>
      </c>
      <c r="AT26" s="132"/>
      <c r="AU26" s="133"/>
      <c r="AV26" s="418">
        <f t="shared" si="15"/>
        <v>0</v>
      </c>
      <c r="AW26" s="88">
        <f>AN26+AQ26+AT26</f>
        <v>0</v>
      </c>
      <c r="AX26" s="562">
        <f t="shared" ref="AX26:AX28" si="180">AO26+AR26+AU26</f>
        <v>0</v>
      </c>
      <c r="AY26" s="582">
        <f t="shared" si="66"/>
        <v>0</v>
      </c>
      <c r="AZ26" s="132"/>
      <c r="BA26" s="133"/>
      <c r="BB26" s="86">
        <f t="shared" si="17"/>
        <v>0</v>
      </c>
      <c r="BC26" s="132"/>
      <c r="BD26" s="133"/>
      <c r="BE26" s="86">
        <f t="shared" si="18"/>
        <v>0</v>
      </c>
      <c r="BF26" s="132"/>
      <c r="BG26" s="133"/>
      <c r="BH26" s="87">
        <f t="shared" si="19"/>
        <v>0</v>
      </c>
      <c r="BI26" s="88">
        <f>AZ26+BC26+BF26</f>
        <v>0</v>
      </c>
      <c r="BJ26" s="583">
        <f t="shared" ref="BJ26:BJ28" si="181">BA26+BD26+BG26</f>
        <v>0</v>
      </c>
      <c r="BK26" s="582">
        <f t="shared" si="71"/>
        <v>0</v>
      </c>
      <c r="BL26" s="132"/>
      <c r="BM26" s="133"/>
      <c r="BN26" s="86">
        <f t="shared" si="21"/>
        <v>0</v>
      </c>
      <c r="BO26" s="132"/>
      <c r="BP26" s="133"/>
      <c r="BQ26" s="86">
        <f t="shared" si="22"/>
        <v>0</v>
      </c>
      <c r="BR26" s="132"/>
      <c r="BS26" s="133"/>
      <c r="BT26" s="87">
        <f t="shared" si="23"/>
        <v>0</v>
      </c>
      <c r="BU26" s="88">
        <f>BL26+BO26+BR26</f>
        <v>0</v>
      </c>
      <c r="BV26" s="583">
        <f t="shared" ref="BV26:BV28" si="182">BM26+BP26+BS26</f>
        <v>0</v>
      </c>
      <c r="BW26" s="582">
        <f t="shared" si="131"/>
        <v>0</v>
      </c>
      <c r="BX26" s="132"/>
      <c r="BY26" s="133"/>
      <c r="BZ26" s="86">
        <f t="shared" si="132"/>
        <v>0</v>
      </c>
      <c r="CA26" s="132"/>
      <c r="CB26" s="133"/>
      <c r="CC26" s="86">
        <f t="shared" si="133"/>
        <v>0</v>
      </c>
      <c r="CD26" s="132"/>
      <c r="CE26" s="133"/>
      <c r="CF26" s="87">
        <f t="shared" si="134"/>
        <v>0</v>
      </c>
      <c r="CG26" s="88">
        <f>BX26+CA26+CD26</f>
        <v>0</v>
      </c>
      <c r="CH26" s="583">
        <f t="shared" ref="CH26:CH28" si="183">BY26+CB26+CE26</f>
        <v>0</v>
      </c>
    </row>
    <row r="27" spans="1:86" s="68" customFormat="1">
      <c r="A27" s="116" t="s">
        <v>285</v>
      </c>
      <c r="B27" s="89" t="s">
        <v>216</v>
      </c>
      <c r="C27" s="582">
        <f t="shared" si="0"/>
        <v>0</v>
      </c>
      <c r="D27" s="132"/>
      <c r="E27" s="133"/>
      <c r="F27" s="86">
        <f t="shared" si="1"/>
        <v>0</v>
      </c>
      <c r="G27" s="132"/>
      <c r="H27" s="133"/>
      <c r="I27" s="86">
        <f t="shared" si="2"/>
        <v>0</v>
      </c>
      <c r="J27" s="132"/>
      <c r="K27" s="133"/>
      <c r="L27" s="418">
        <f t="shared" si="3"/>
        <v>0</v>
      </c>
      <c r="M27" s="88">
        <f t="shared" ref="M27:M28" si="184">D27+G27+J27</f>
        <v>0</v>
      </c>
      <c r="N27" s="583">
        <f t="shared" si="177"/>
        <v>0</v>
      </c>
      <c r="O27" s="86">
        <f t="shared" si="4"/>
        <v>0</v>
      </c>
      <c r="P27" s="132"/>
      <c r="Q27" s="133"/>
      <c r="R27" s="86">
        <f t="shared" si="5"/>
        <v>0</v>
      </c>
      <c r="S27" s="132"/>
      <c r="T27" s="133"/>
      <c r="U27" s="86">
        <f t="shared" si="6"/>
        <v>0</v>
      </c>
      <c r="V27" s="132"/>
      <c r="W27" s="133"/>
      <c r="X27" s="87">
        <f t="shared" si="7"/>
        <v>0</v>
      </c>
      <c r="Y27" s="88">
        <f t="shared" ref="Y27:Y28" si="185">P27+S27+V27</f>
        <v>0</v>
      </c>
      <c r="Z27" s="562">
        <f t="shared" si="178"/>
        <v>0</v>
      </c>
      <c r="AA27" s="582">
        <f t="shared" si="8"/>
        <v>0</v>
      </c>
      <c r="AB27" s="132"/>
      <c r="AC27" s="133"/>
      <c r="AD27" s="86">
        <f t="shared" si="9"/>
        <v>0</v>
      </c>
      <c r="AE27" s="132"/>
      <c r="AF27" s="133"/>
      <c r="AG27" s="86">
        <f t="shared" si="10"/>
        <v>0</v>
      </c>
      <c r="AH27" s="132"/>
      <c r="AI27" s="133"/>
      <c r="AJ27" s="87">
        <f t="shared" si="11"/>
        <v>0</v>
      </c>
      <c r="AK27" s="88">
        <f t="shared" ref="AK27:AK28" si="186">AB27+AE27+AH27</f>
        <v>0</v>
      </c>
      <c r="AL27" s="583">
        <f t="shared" si="179"/>
        <v>0</v>
      </c>
      <c r="AM27" s="86">
        <f t="shared" si="12"/>
        <v>0</v>
      </c>
      <c r="AN27" s="132"/>
      <c r="AO27" s="133"/>
      <c r="AP27" s="86">
        <f t="shared" si="13"/>
        <v>0</v>
      </c>
      <c r="AQ27" s="132"/>
      <c r="AR27" s="133"/>
      <c r="AS27" s="86">
        <f t="shared" si="14"/>
        <v>0</v>
      </c>
      <c r="AT27" s="132"/>
      <c r="AU27" s="133"/>
      <c r="AV27" s="418">
        <f t="shared" si="15"/>
        <v>0</v>
      </c>
      <c r="AW27" s="88">
        <f t="shared" ref="AW27:AW28" si="187">AN27+AQ27+AT27</f>
        <v>0</v>
      </c>
      <c r="AX27" s="562">
        <f t="shared" si="180"/>
        <v>0</v>
      </c>
      <c r="AY27" s="582">
        <f t="shared" si="66"/>
        <v>0</v>
      </c>
      <c r="AZ27" s="132"/>
      <c r="BA27" s="133"/>
      <c r="BB27" s="86">
        <f t="shared" si="17"/>
        <v>0</v>
      </c>
      <c r="BC27" s="132"/>
      <c r="BD27" s="133"/>
      <c r="BE27" s="86">
        <f t="shared" si="18"/>
        <v>0</v>
      </c>
      <c r="BF27" s="132"/>
      <c r="BG27" s="133"/>
      <c r="BH27" s="87">
        <f t="shared" si="19"/>
        <v>0</v>
      </c>
      <c r="BI27" s="88">
        <f t="shared" ref="BI27:BI28" si="188">AZ27+BC27+BF27</f>
        <v>0</v>
      </c>
      <c r="BJ27" s="583">
        <f t="shared" si="181"/>
        <v>0</v>
      </c>
      <c r="BK27" s="582">
        <f t="shared" si="71"/>
        <v>0</v>
      </c>
      <c r="BL27" s="132"/>
      <c r="BM27" s="133"/>
      <c r="BN27" s="86">
        <f t="shared" si="21"/>
        <v>0</v>
      </c>
      <c r="BO27" s="132"/>
      <c r="BP27" s="133"/>
      <c r="BQ27" s="86">
        <f t="shared" si="22"/>
        <v>0</v>
      </c>
      <c r="BR27" s="132"/>
      <c r="BS27" s="133"/>
      <c r="BT27" s="87">
        <f t="shared" si="23"/>
        <v>0</v>
      </c>
      <c r="BU27" s="88">
        <f t="shared" ref="BU27:BU28" si="189">BL27+BO27+BR27</f>
        <v>0</v>
      </c>
      <c r="BV27" s="583">
        <f t="shared" si="182"/>
        <v>0</v>
      </c>
      <c r="BW27" s="582">
        <f t="shared" si="131"/>
        <v>0</v>
      </c>
      <c r="BX27" s="132"/>
      <c r="BY27" s="133"/>
      <c r="BZ27" s="86">
        <f t="shared" si="132"/>
        <v>0</v>
      </c>
      <c r="CA27" s="132"/>
      <c r="CB27" s="133"/>
      <c r="CC27" s="86">
        <f t="shared" si="133"/>
        <v>0</v>
      </c>
      <c r="CD27" s="132"/>
      <c r="CE27" s="133"/>
      <c r="CF27" s="87">
        <f t="shared" si="134"/>
        <v>0</v>
      </c>
      <c r="CG27" s="88">
        <f t="shared" ref="CG27:CG28" si="190">BX27+CA27+CD27</f>
        <v>0</v>
      </c>
      <c r="CH27" s="583">
        <f t="shared" si="183"/>
        <v>0</v>
      </c>
    </row>
    <row r="28" spans="1:86" s="68" customFormat="1">
      <c r="A28" s="116" t="s">
        <v>286</v>
      </c>
      <c r="B28" s="90" t="s">
        <v>217</v>
      </c>
      <c r="C28" s="582">
        <f t="shared" si="0"/>
        <v>0</v>
      </c>
      <c r="D28" s="132"/>
      <c r="E28" s="133"/>
      <c r="F28" s="86">
        <f t="shared" si="1"/>
        <v>0</v>
      </c>
      <c r="G28" s="132"/>
      <c r="H28" s="133"/>
      <c r="I28" s="86">
        <f t="shared" si="2"/>
        <v>0</v>
      </c>
      <c r="J28" s="132"/>
      <c r="K28" s="133"/>
      <c r="L28" s="418">
        <f t="shared" si="3"/>
        <v>0</v>
      </c>
      <c r="M28" s="88">
        <f t="shared" si="184"/>
        <v>0</v>
      </c>
      <c r="N28" s="583">
        <f t="shared" si="177"/>
        <v>0</v>
      </c>
      <c r="O28" s="86">
        <f t="shared" si="4"/>
        <v>0</v>
      </c>
      <c r="P28" s="132"/>
      <c r="Q28" s="133"/>
      <c r="R28" s="86">
        <f t="shared" si="5"/>
        <v>0</v>
      </c>
      <c r="S28" s="132"/>
      <c r="T28" s="133"/>
      <c r="U28" s="86">
        <f t="shared" si="6"/>
        <v>0</v>
      </c>
      <c r="V28" s="132"/>
      <c r="W28" s="133"/>
      <c r="X28" s="87">
        <f t="shared" si="7"/>
        <v>0</v>
      </c>
      <c r="Y28" s="88">
        <f t="shared" si="185"/>
        <v>0</v>
      </c>
      <c r="Z28" s="562">
        <f t="shared" si="178"/>
        <v>0</v>
      </c>
      <c r="AA28" s="582">
        <f t="shared" si="8"/>
        <v>0</v>
      </c>
      <c r="AB28" s="132"/>
      <c r="AC28" s="133"/>
      <c r="AD28" s="86">
        <f t="shared" si="9"/>
        <v>0</v>
      </c>
      <c r="AE28" s="132"/>
      <c r="AF28" s="133"/>
      <c r="AG28" s="86">
        <f t="shared" si="10"/>
        <v>0</v>
      </c>
      <c r="AH28" s="132"/>
      <c r="AI28" s="133"/>
      <c r="AJ28" s="87">
        <f t="shared" si="11"/>
        <v>0</v>
      </c>
      <c r="AK28" s="88">
        <f t="shared" si="186"/>
        <v>0</v>
      </c>
      <c r="AL28" s="583">
        <f t="shared" si="179"/>
        <v>0</v>
      </c>
      <c r="AM28" s="86">
        <f t="shared" si="12"/>
        <v>0</v>
      </c>
      <c r="AN28" s="132"/>
      <c r="AO28" s="133"/>
      <c r="AP28" s="86">
        <f t="shared" si="13"/>
        <v>0</v>
      </c>
      <c r="AQ28" s="132"/>
      <c r="AR28" s="133"/>
      <c r="AS28" s="86">
        <f t="shared" si="14"/>
        <v>0</v>
      </c>
      <c r="AT28" s="132"/>
      <c r="AU28" s="133"/>
      <c r="AV28" s="418">
        <f t="shared" si="15"/>
        <v>0</v>
      </c>
      <c r="AW28" s="88">
        <f t="shared" si="187"/>
        <v>0</v>
      </c>
      <c r="AX28" s="562">
        <f t="shared" si="180"/>
        <v>0</v>
      </c>
      <c r="AY28" s="582">
        <f t="shared" si="66"/>
        <v>0</v>
      </c>
      <c r="AZ28" s="132"/>
      <c r="BA28" s="133"/>
      <c r="BB28" s="86">
        <f t="shared" si="17"/>
        <v>84301</v>
      </c>
      <c r="BC28" s="132">
        <f>60327+23974-BC27</f>
        <v>84301</v>
      </c>
      <c r="BD28" s="133"/>
      <c r="BE28" s="86">
        <f t="shared" si="18"/>
        <v>0</v>
      </c>
      <c r="BF28" s="132"/>
      <c r="BG28" s="133"/>
      <c r="BH28" s="87">
        <f t="shared" si="19"/>
        <v>84301</v>
      </c>
      <c r="BI28" s="88">
        <f t="shared" si="188"/>
        <v>84301</v>
      </c>
      <c r="BJ28" s="583">
        <f t="shared" si="181"/>
        <v>0</v>
      </c>
      <c r="BK28" s="582">
        <f t="shared" si="71"/>
        <v>0</v>
      </c>
      <c r="BL28" s="132"/>
      <c r="BM28" s="133"/>
      <c r="BN28" s="86">
        <f t="shared" si="21"/>
        <v>0</v>
      </c>
      <c r="BO28" s="132"/>
      <c r="BP28" s="133"/>
      <c r="BQ28" s="86">
        <f t="shared" si="22"/>
        <v>0</v>
      </c>
      <c r="BR28" s="132"/>
      <c r="BS28" s="133"/>
      <c r="BT28" s="87">
        <f t="shared" si="23"/>
        <v>0</v>
      </c>
      <c r="BU28" s="88">
        <f t="shared" si="189"/>
        <v>0</v>
      </c>
      <c r="BV28" s="583">
        <f t="shared" si="182"/>
        <v>0</v>
      </c>
      <c r="BW28" s="582">
        <f t="shared" si="131"/>
        <v>0</v>
      </c>
      <c r="BX28" s="132"/>
      <c r="BY28" s="133"/>
      <c r="BZ28" s="86">
        <f t="shared" si="132"/>
        <v>0</v>
      </c>
      <c r="CA28" s="132"/>
      <c r="CB28" s="133"/>
      <c r="CC28" s="86">
        <f t="shared" si="133"/>
        <v>0</v>
      </c>
      <c r="CD28" s="132"/>
      <c r="CE28" s="133"/>
      <c r="CF28" s="87">
        <f t="shared" si="134"/>
        <v>0</v>
      </c>
      <c r="CG28" s="88">
        <f t="shared" si="190"/>
        <v>0</v>
      </c>
      <c r="CH28" s="583">
        <f t="shared" si="183"/>
        <v>0</v>
      </c>
    </row>
    <row r="29" spans="1:86" s="101" customFormat="1">
      <c r="A29" s="117">
        <v>7</v>
      </c>
      <c r="B29" s="91" t="s">
        <v>159</v>
      </c>
      <c r="C29" s="584">
        <f t="shared" si="0"/>
        <v>0</v>
      </c>
      <c r="D29" s="125">
        <f>SUM(D30:D32)</f>
        <v>0</v>
      </c>
      <c r="E29" s="126">
        <f>SUM(E30:E32)</f>
        <v>0</v>
      </c>
      <c r="F29" s="127">
        <f t="shared" si="1"/>
        <v>0</v>
      </c>
      <c r="G29" s="125">
        <f>SUM(G30:G32)</f>
        <v>0</v>
      </c>
      <c r="H29" s="126">
        <f>SUM(H30:H32)</f>
        <v>0</v>
      </c>
      <c r="I29" s="127">
        <f t="shared" si="2"/>
        <v>13210</v>
      </c>
      <c r="J29" s="125">
        <f>SUM(J30:J32)</f>
        <v>13210</v>
      </c>
      <c r="K29" s="126">
        <f>SUM(K30:K32)</f>
        <v>0</v>
      </c>
      <c r="L29" s="419">
        <f t="shared" si="3"/>
        <v>13210</v>
      </c>
      <c r="M29" s="93">
        <f>SUM(M30:M32)</f>
        <v>13210</v>
      </c>
      <c r="N29" s="585">
        <f>SUM(N30:N32)</f>
        <v>0</v>
      </c>
      <c r="O29" s="127">
        <f t="shared" si="4"/>
        <v>0</v>
      </c>
      <c r="P29" s="125">
        <f>SUM(P30:P32)</f>
        <v>0</v>
      </c>
      <c r="Q29" s="126">
        <f>SUM(Q30:Q32)</f>
        <v>0</v>
      </c>
      <c r="R29" s="127">
        <f t="shared" si="5"/>
        <v>17266</v>
      </c>
      <c r="S29" s="125">
        <f>SUM(S30:S32)</f>
        <v>10599</v>
      </c>
      <c r="T29" s="126">
        <f>SUM(T30:T32)</f>
        <v>6667</v>
      </c>
      <c r="U29" s="127">
        <f t="shared" si="6"/>
        <v>0</v>
      </c>
      <c r="V29" s="125">
        <f>SUM(V30:V32)</f>
        <v>0</v>
      </c>
      <c r="W29" s="126">
        <f>SUM(W30:W32)</f>
        <v>0</v>
      </c>
      <c r="X29" s="92">
        <f t="shared" si="7"/>
        <v>17266</v>
      </c>
      <c r="Y29" s="93">
        <f>SUM(Y30:Y32)</f>
        <v>10599</v>
      </c>
      <c r="Z29" s="563">
        <f>SUM(Z30:Z32)</f>
        <v>6667</v>
      </c>
      <c r="AA29" s="584">
        <f t="shared" si="8"/>
        <v>0</v>
      </c>
      <c r="AB29" s="125">
        <f>SUM(AB30:AB32)</f>
        <v>0</v>
      </c>
      <c r="AC29" s="126">
        <f>SUM(AC30:AC32)</f>
        <v>0</v>
      </c>
      <c r="AD29" s="127">
        <f t="shared" si="9"/>
        <v>4923</v>
      </c>
      <c r="AE29" s="125">
        <f>SUM(AE30:AE32)</f>
        <v>4923</v>
      </c>
      <c r="AF29" s="126">
        <f>SUM(AF30:AF32)</f>
        <v>0</v>
      </c>
      <c r="AG29" s="127">
        <f t="shared" si="10"/>
        <v>870</v>
      </c>
      <c r="AH29" s="125">
        <f>SUM(AH30:AH32)</f>
        <v>870</v>
      </c>
      <c r="AI29" s="126">
        <f>SUM(AI30:AI32)</f>
        <v>0</v>
      </c>
      <c r="AJ29" s="92">
        <f t="shared" si="11"/>
        <v>5793</v>
      </c>
      <c r="AK29" s="93">
        <f>SUM(AK30:AK32)</f>
        <v>5793</v>
      </c>
      <c r="AL29" s="585">
        <f>SUM(AL30:AL32)</f>
        <v>0</v>
      </c>
      <c r="AM29" s="127">
        <f t="shared" si="12"/>
        <v>0</v>
      </c>
      <c r="AN29" s="125">
        <f>SUM(AN30:AN32)</f>
        <v>0</v>
      </c>
      <c r="AO29" s="126">
        <f>SUM(AO30:AO32)</f>
        <v>0</v>
      </c>
      <c r="AP29" s="127">
        <f t="shared" si="13"/>
        <v>0</v>
      </c>
      <c r="AQ29" s="125">
        <f>SUM(AQ30:AQ32)</f>
        <v>0</v>
      </c>
      <c r="AR29" s="126">
        <f>SUM(AR30:AR32)</f>
        <v>0</v>
      </c>
      <c r="AS29" s="127">
        <f t="shared" si="14"/>
        <v>0</v>
      </c>
      <c r="AT29" s="125">
        <f>SUM(AT30:AT32)</f>
        <v>0</v>
      </c>
      <c r="AU29" s="126">
        <f>SUM(AU30:AU32)</f>
        <v>0</v>
      </c>
      <c r="AV29" s="419">
        <f t="shared" si="15"/>
        <v>0</v>
      </c>
      <c r="AW29" s="93">
        <f>SUM(AW30:AW32)</f>
        <v>0</v>
      </c>
      <c r="AX29" s="563">
        <f>SUM(AX30:AX32)</f>
        <v>0</v>
      </c>
      <c r="AY29" s="584">
        <f t="shared" si="66"/>
        <v>610</v>
      </c>
      <c r="AZ29" s="125">
        <f>SUM(AZ30:AZ32)</f>
        <v>610</v>
      </c>
      <c r="BA29" s="126">
        <f>SUM(BA30:BA32)</f>
        <v>0</v>
      </c>
      <c r="BB29" s="127">
        <f t="shared" si="17"/>
        <v>0</v>
      </c>
      <c r="BC29" s="125">
        <f>SUM(BC30:BC32)</f>
        <v>0</v>
      </c>
      <c r="BD29" s="126">
        <f>SUM(BD30:BD32)</f>
        <v>0</v>
      </c>
      <c r="BE29" s="127">
        <f t="shared" si="18"/>
        <v>0</v>
      </c>
      <c r="BF29" s="125">
        <f>SUM(BF30:BF32)</f>
        <v>0</v>
      </c>
      <c r="BG29" s="126">
        <f>SUM(BG30:BG32)</f>
        <v>0</v>
      </c>
      <c r="BH29" s="92">
        <f t="shared" si="19"/>
        <v>610</v>
      </c>
      <c r="BI29" s="93">
        <f>SUM(BI30:BI32)</f>
        <v>610</v>
      </c>
      <c r="BJ29" s="585">
        <f>SUM(BJ30:BJ32)</f>
        <v>0</v>
      </c>
      <c r="BK29" s="584">
        <f t="shared" si="71"/>
        <v>0</v>
      </c>
      <c r="BL29" s="125">
        <f>SUM(BL30:BL32)</f>
        <v>0</v>
      </c>
      <c r="BM29" s="126">
        <f>SUM(BM30:BM32)</f>
        <v>0</v>
      </c>
      <c r="BN29" s="127">
        <f t="shared" si="21"/>
        <v>0</v>
      </c>
      <c r="BO29" s="125">
        <f>SUM(BO30:BO32)</f>
        <v>0</v>
      </c>
      <c r="BP29" s="126">
        <f>SUM(BP30:BP32)</f>
        <v>0</v>
      </c>
      <c r="BQ29" s="127">
        <f t="shared" si="22"/>
        <v>0</v>
      </c>
      <c r="BR29" s="125">
        <f>SUM(BR30:BR32)</f>
        <v>0</v>
      </c>
      <c r="BS29" s="126">
        <f>SUM(BS30:BS32)</f>
        <v>0</v>
      </c>
      <c r="BT29" s="92">
        <f t="shared" si="23"/>
        <v>0</v>
      </c>
      <c r="BU29" s="93">
        <f>SUM(BU30:BU32)</f>
        <v>0</v>
      </c>
      <c r="BV29" s="585">
        <f>SUM(BV30:BV32)</f>
        <v>0</v>
      </c>
      <c r="BW29" s="584">
        <f t="shared" si="131"/>
        <v>0</v>
      </c>
      <c r="BX29" s="125">
        <f>SUM(BX30:BX32)</f>
        <v>0</v>
      </c>
      <c r="BY29" s="126">
        <f>SUM(BY30:BY32)</f>
        <v>0</v>
      </c>
      <c r="BZ29" s="127">
        <f t="shared" si="132"/>
        <v>0</v>
      </c>
      <c r="CA29" s="125">
        <f>SUM(CA30:CA32)</f>
        <v>0</v>
      </c>
      <c r="CB29" s="126">
        <f>SUM(CB30:CB32)</f>
        <v>0</v>
      </c>
      <c r="CC29" s="127">
        <f t="shared" si="133"/>
        <v>0</v>
      </c>
      <c r="CD29" s="125">
        <f>SUM(CD30:CD32)</f>
        <v>0</v>
      </c>
      <c r="CE29" s="126">
        <f>SUM(CE30:CE32)</f>
        <v>0</v>
      </c>
      <c r="CF29" s="92">
        <f t="shared" si="134"/>
        <v>0</v>
      </c>
      <c r="CG29" s="93">
        <f>SUM(CG30:CG32)</f>
        <v>0</v>
      </c>
      <c r="CH29" s="585">
        <f>SUM(CH30:CH32)</f>
        <v>0</v>
      </c>
    </row>
    <row r="30" spans="1:86" s="68" customFormat="1">
      <c r="A30" s="115" t="s">
        <v>287</v>
      </c>
      <c r="B30" s="79" t="s">
        <v>218</v>
      </c>
      <c r="C30" s="580">
        <f t="shared" si="0"/>
        <v>0</v>
      </c>
      <c r="D30" s="132"/>
      <c r="E30" s="133"/>
      <c r="F30" s="80">
        <f t="shared" si="1"/>
        <v>0</v>
      </c>
      <c r="G30" s="132"/>
      <c r="H30" s="133"/>
      <c r="I30" s="80">
        <f t="shared" si="2"/>
        <v>0</v>
      </c>
      <c r="J30" s="132"/>
      <c r="K30" s="133"/>
      <c r="L30" s="417">
        <f t="shared" si="3"/>
        <v>0</v>
      </c>
      <c r="M30" s="82">
        <f>D30+G30+J30</f>
        <v>0</v>
      </c>
      <c r="N30" s="581">
        <f t="shared" ref="N30:N32" si="191">E30+H30+K30</f>
        <v>0</v>
      </c>
      <c r="O30" s="80">
        <f t="shared" si="4"/>
        <v>0</v>
      </c>
      <c r="P30" s="132"/>
      <c r="Q30" s="133"/>
      <c r="R30" s="80">
        <f t="shared" si="5"/>
        <v>0</v>
      </c>
      <c r="S30" s="132"/>
      <c r="T30" s="133"/>
      <c r="U30" s="80">
        <f t="shared" si="6"/>
        <v>0</v>
      </c>
      <c r="V30" s="132"/>
      <c r="W30" s="133"/>
      <c r="X30" s="81">
        <f t="shared" si="7"/>
        <v>0</v>
      </c>
      <c r="Y30" s="82">
        <f>P30+S30+V30</f>
        <v>0</v>
      </c>
      <c r="Z30" s="564">
        <f t="shared" ref="Z30:Z32" si="192">Q30+T30+W30</f>
        <v>0</v>
      </c>
      <c r="AA30" s="580">
        <f t="shared" si="8"/>
        <v>0</v>
      </c>
      <c r="AB30" s="132"/>
      <c r="AC30" s="133"/>
      <c r="AD30" s="80">
        <f t="shared" si="9"/>
        <v>0</v>
      </c>
      <c r="AE30" s="132"/>
      <c r="AF30" s="133"/>
      <c r="AG30" s="80">
        <f t="shared" si="10"/>
        <v>0</v>
      </c>
      <c r="AH30" s="132"/>
      <c r="AI30" s="133"/>
      <c r="AJ30" s="81">
        <f t="shared" si="11"/>
        <v>0</v>
      </c>
      <c r="AK30" s="82">
        <f>AB30+AE30+AH30</f>
        <v>0</v>
      </c>
      <c r="AL30" s="581">
        <f t="shared" ref="AL30:AL32" si="193">AC30+AF30+AI30</f>
        <v>0</v>
      </c>
      <c r="AM30" s="80">
        <f t="shared" si="12"/>
        <v>0</v>
      </c>
      <c r="AN30" s="132"/>
      <c r="AO30" s="133"/>
      <c r="AP30" s="80">
        <f t="shared" si="13"/>
        <v>0</v>
      </c>
      <c r="AQ30" s="132"/>
      <c r="AR30" s="133"/>
      <c r="AS30" s="80">
        <f t="shared" si="14"/>
        <v>0</v>
      </c>
      <c r="AT30" s="132"/>
      <c r="AU30" s="133"/>
      <c r="AV30" s="417">
        <f t="shared" si="15"/>
        <v>0</v>
      </c>
      <c r="AW30" s="82">
        <f>AN30+AQ30+AT30</f>
        <v>0</v>
      </c>
      <c r="AX30" s="564">
        <f t="shared" ref="AX30:AX32" si="194">AO30+AR30+AU30</f>
        <v>0</v>
      </c>
      <c r="AY30" s="580">
        <f t="shared" si="66"/>
        <v>0</v>
      </c>
      <c r="AZ30" s="132"/>
      <c r="BA30" s="133"/>
      <c r="BB30" s="80">
        <f t="shared" si="17"/>
        <v>0</v>
      </c>
      <c r="BC30" s="132"/>
      <c r="BD30" s="133"/>
      <c r="BE30" s="80">
        <f t="shared" si="18"/>
        <v>0</v>
      </c>
      <c r="BF30" s="132"/>
      <c r="BG30" s="133"/>
      <c r="BH30" s="81">
        <f t="shared" si="19"/>
        <v>0</v>
      </c>
      <c r="BI30" s="82">
        <f>AZ30+BC30+BF30</f>
        <v>0</v>
      </c>
      <c r="BJ30" s="581">
        <f t="shared" ref="BJ30:BJ32" si="195">BA30+BD30+BG30</f>
        <v>0</v>
      </c>
      <c r="BK30" s="580">
        <f t="shared" si="71"/>
        <v>0</v>
      </c>
      <c r="BL30" s="132"/>
      <c r="BM30" s="133"/>
      <c r="BN30" s="80">
        <f t="shared" si="21"/>
        <v>0</v>
      </c>
      <c r="BO30" s="132"/>
      <c r="BP30" s="133"/>
      <c r="BQ30" s="80">
        <f t="shared" si="22"/>
        <v>0</v>
      </c>
      <c r="BR30" s="132"/>
      <c r="BS30" s="133"/>
      <c r="BT30" s="81">
        <f t="shared" si="23"/>
        <v>0</v>
      </c>
      <c r="BU30" s="82">
        <f>BL30+BO30+BR30</f>
        <v>0</v>
      </c>
      <c r="BV30" s="581">
        <f t="shared" ref="BV30:BV32" si="196">BM30+BP30+BS30</f>
        <v>0</v>
      </c>
      <c r="BW30" s="580">
        <f t="shared" si="131"/>
        <v>0</v>
      </c>
      <c r="BX30" s="132"/>
      <c r="BY30" s="133"/>
      <c r="BZ30" s="80">
        <f t="shared" si="132"/>
        <v>0</v>
      </c>
      <c r="CA30" s="132"/>
      <c r="CB30" s="133"/>
      <c r="CC30" s="80">
        <f t="shared" si="133"/>
        <v>0</v>
      </c>
      <c r="CD30" s="132"/>
      <c r="CE30" s="133"/>
      <c r="CF30" s="81">
        <f t="shared" si="134"/>
        <v>0</v>
      </c>
      <c r="CG30" s="82">
        <f>BX30+CA30+CD30</f>
        <v>0</v>
      </c>
      <c r="CH30" s="581">
        <f t="shared" ref="CH30:CH32" si="197">BY30+CB30+CE30</f>
        <v>0</v>
      </c>
    </row>
    <row r="31" spans="1:86" s="68" customFormat="1">
      <c r="A31" s="115" t="s">
        <v>288</v>
      </c>
      <c r="B31" s="83" t="s">
        <v>216</v>
      </c>
      <c r="C31" s="580">
        <f t="shared" si="0"/>
        <v>0</v>
      </c>
      <c r="D31" s="132"/>
      <c r="E31" s="133"/>
      <c r="F31" s="80">
        <f t="shared" si="1"/>
        <v>0</v>
      </c>
      <c r="G31" s="132"/>
      <c r="H31" s="133"/>
      <c r="I31" s="80">
        <f t="shared" si="2"/>
        <v>0</v>
      </c>
      <c r="J31" s="132"/>
      <c r="K31" s="133"/>
      <c r="L31" s="417">
        <f t="shared" si="3"/>
        <v>0</v>
      </c>
      <c r="M31" s="82">
        <f t="shared" ref="M31:M32" si="198">D31+G31+J31</f>
        <v>0</v>
      </c>
      <c r="N31" s="581">
        <f t="shared" si="191"/>
        <v>0</v>
      </c>
      <c r="O31" s="80">
        <f t="shared" si="4"/>
        <v>0</v>
      </c>
      <c r="P31" s="132"/>
      <c r="Q31" s="133"/>
      <c r="R31" s="80">
        <f t="shared" si="5"/>
        <v>0</v>
      </c>
      <c r="S31" s="132"/>
      <c r="T31" s="133"/>
      <c r="U31" s="80">
        <f t="shared" si="6"/>
        <v>0</v>
      </c>
      <c r="V31" s="132"/>
      <c r="W31" s="133"/>
      <c r="X31" s="81">
        <f t="shared" si="7"/>
        <v>0</v>
      </c>
      <c r="Y31" s="82">
        <f t="shared" ref="Y31:Y32" si="199">P31+S31+V31</f>
        <v>0</v>
      </c>
      <c r="Z31" s="564">
        <f t="shared" si="192"/>
        <v>0</v>
      </c>
      <c r="AA31" s="580">
        <f t="shared" si="8"/>
        <v>0</v>
      </c>
      <c r="AB31" s="132"/>
      <c r="AC31" s="133"/>
      <c r="AD31" s="80">
        <f t="shared" si="9"/>
        <v>0</v>
      </c>
      <c r="AE31" s="132"/>
      <c r="AF31" s="133"/>
      <c r="AG31" s="80">
        <f t="shared" si="10"/>
        <v>0</v>
      </c>
      <c r="AH31" s="132"/>
      <c r="AI31" s="133"/>
      <c r="AJ31" s="81">
        <f t="shared" si="11"/>
        <v>0</v>
      </c>
      <c r="AK31" s="82">
        <f t="shared" ref="AK31:AK32" si="200">AB31+AE31+AH31</f>
        <v>0</v>
      </c>
      <c r="AL31" s="581">
        <f t="shared" si="193"/>
        <v>0</v>
      </c>
      <c r="AM31" s="80">
        <f t="shared" si="12"/>
        <v>0</v>
      </c>
      <c r="AN31" s="132"/>
      <c r="AO31" s="133"/>
      <c r="AP31" s="80">
        <f t="shared" si="13"/>
        <v>0</v>
      </c>
      <c r="AQ31" s="132"/>
      <c r="AR31" s="133"/>
      <c r="AS31" s="80">
        <f t="shared" si="14"/>
        <v>0</v>
      </c>
      <c r="AT31" s="132"/>
      <c r="AU31" s="133"/>
      <c r="AV31" s="417">
        <f t="shared" si="15"/>
        <v>0</v>
      </c>
      <c r="AW31" s="82">
        <f t="shared" ref="AW31:AW32" si="201">AN31+AQ31+AT31</f>
        <v>0</v>
      </c>
      <c r="AX31" s="564">
        <f t="shared" si="194"/>
        <v>0</v>
      </c>
      <c r="AY31" s="580">
        <f t="shared" si="66"/>
        <v>0</v>
      </c>
      <c r="AZ31" s="132"/>
      <c r="BA31" s="133"/>
      <c r="BB31" s="80">
        <f t="shared" si="17"/>
        <v>0</v>
      </c>
      <c r="BC31" s="132"/>
      <c r="BD31" s="133"/>
      <c r="BE31" s="80">
        <f t="shared" si="18"/>
        <v>0</v>
      </c>
      <c r="BF31" s="132"/>
      <c r="BG31" s="133"/>
      <c r="BH31" s="81">
        <f t="shared" si="19"/>
        <v>0</v>
      </c>
      <c r="BI31" s="82">
        <f t="shared" ref="BI31:BI32" si="202">AZ31+BC31+BF31</f>
        <v>0</v>
      </c>
      <c r="BJ31" s="581">
        <f t="shared" si="195"/>
        <v>0</v>
      </c>
      <c r="BK31" s="580">
        <f t="shared" si="71"/>
        <v>0</v>
      </c>
      <c r="BL31" s="132"/>
      <c r="BM31" s="133"/>
      <c r="BN31" s="80">
        <f t="shared" si="21"/>
        <v>0</v>
      </c>
      <c r="BO31" s="132"/>
      <c r="BP31" s="133"/>
      <c r="BQ31" s="80">
        <f t="shared" si="22"/>
        <v>0</v>
      </c>
      <c r="BR31" s="132"/>
      <c r="BS31" s="133"/>
      <c r="BT31" s="81">
        <f t="shared" si="23"/>
        <v>0</v>
      </c>
      <c r="BU31" s="82">
        <f t="shared" ref="BU31:BU32" si="203">BL31+BO31+BR31</f>
        <v>0</v>
      </c>
      <c r="BV31" s="581">
        <f t="shared" si="196"/>
        <v>0</v>
      </c>
      <c r="BW31" s="580">
        <f t="shared" si="131"/>
        <v>0</v>
      </c>
      <c r="BX31" s="132"/>
      <c r="BY31" s="133"/>
      <c r="BZ31" s="80">
        <f t="shared" si="132"/>
        <v>0</v>
      </c>
      <c r="CA31" s="132"/>
      <c r="CB31" s="133"/>
      <c r="CC31" s="80">
        <f t="shared" si="133"/>
        <v>0</v>
      </c>
      <c r="CD31" s="132"/>
      <c r="CE31" s="133"/>
      <c r="CF31" s="81">
        <f t="shared" si="134"/>
        <v>0</v>
      </c>
      <c r="CG31" s="82">
        <f t="shared" ref="CG31:CG32" si="204">BX31+CA31+CD31</f>
        <v>0</v>
      </c>
      <c r="CH31" s="581">
        <f t="shared" si="197"/>
        <v>0</v>
      </c>
    </row>
    <row r="32" spans="1:86" s="68" customFormat="1">
      <c r="A32" s="115" t="s">
        <v>289</v>
      </c>
      <c r="B32" s="84" t="s">
        <v>217</v>
      </c>
      <c r="C32" s="580">
        <f t="shared" si="0"/>
        <v>0</v>
      </c>
      <c r="D32" s="132"/>
      <c r="E32" s="133"/>
      <c r="F32" s="80">
        <f t="shared" si="1"/>
        <v>0</v>
      </c>
      <c r="G32" s="132"/>
      <c r="H32" s="133"/>
      <c r="I32" s="80">
        <f t="shared" si="2"/>
        <v>13210</v>
      </c>
      <c r="J32" s="132">
        <v>13210</v>
      </c>
      <c r="K32" s="133"/>
      <c r="L32" s="417">
        <f t="shared" si="3"/>
        <v>13210</v>
      </c>
      <c r="M32" s="82">
        <f t="shared" si="198"/>
        <v>13210</v>
      </c>
      <c r="N32" s="581">
        <f t="shared" si="191"/>
        <v>0</v>
      </c>
      <c r="O32" s="80">
        <f t="shared" si="4"/>
        <v>0</v>
      </c>
      <c r="P32" s="132"/>
      <c r="Q32" s="133"/>
      <c r="R32" s="80">
        <f t="shared" si="5"/>
        <v>17266</v>
      </c>
      <c r="S32" s="132">
        <v>10599</v>
      </c>
      <c r="T32" s="133">
        <v>6667</v>
      </c>
      <c r="U32" s="80">
        <f t="shared" si="6"/>
        <v>0</v>
      </c>
      <c r="V32" s="132"/>
      <c r="W32" s="133"/>
      <c r="X32" s="81">
        <f t="shared" si="7"/>
        <v>17266</v>
      </c>
      <c r="Y32" s="82">
        <f t="shared" si="199"/>
        <v>10599</v>
      </c>
      <c r="Z32" s="564">
        <f t="shared" si="192"/>
        <v>6667</v>
      </c>
      <c r="AA32" s="580">
        <f t="shared" si="8"/>
        <v>0</v>
      </c>
      <c r="AB32" s="132"/>
      <c r="AC32" s="133"/>
      <c r="AD32" s="80">
        <f t="shared" si="9"/>
        <v>4923</v>
      </c>
      <c r="AE32" s="132">
        <v>4923</v>
      </c>
      <c r="AF32" s="133"/>
      <c r="AG32" s="80">
        <f t="shared" si="10"/>
        <v>870</v>
      </c>
      <c r="AH32" s="132">
        <v>870</v>
      </c>
      <c r="AI32" s="133"/>
      <c r="AJ32" s="81">
        <f t="shared" si="11"/>
        <v>5793</v>
      </c>
      <c r="AK32" s="82">
        <f t="shared" si="200"/>
        <v>5793</v>
      </c>
      <c r="AL32" s="581">
        <f t="shared" si="193"/>
        <v>0</v>
      </c>
      <c r="AM32" s="80">
        <f t="shared" si="12"/>
        <v>0</v>
      </c>
      <c r="AN32" s="132"/>
      <c r="AO32" s="133"/>
      <c r="AP32" s="80">
        <f t="shared" si="13"/>
        <v>0</v>
      </c>
      <c r="AQ32" s="132"/>
      <c r="AR32" s="133"/>
      <c r="AS32" s="80">
        <f t="shared" si="14"/>
        <v>0</v>
      </c>
      <c r="AT32" s="132"/>
      <c r="AU32" s="133"/>
      <c r="AV32" s="417">
        <f t="shared" si="15"/>
        <v>0</v>
      </c>
      <c r="AW32" s="82">
        <f t="shared" si="201"/>
        <v>0</v>
      </c>
      <c r="AX32" s="564">
        <f t="shared" si="194"/>
        <v>0</v>
      </c>
      <c r="AY32" s="580">
        <f t="shared" si="66"/>
        <v>610</v>
      </c>
      <c r="AZ32" s="132">
        <v>610</v>
      </c>
      <c r="BA32" s="133"/>
      <c r="BB32" s="80">
        <f t="shared" si="17"/>
        <v>0</v>
      </c>
      <c r="BC32" s="132"/>
      <c r="BD32" s="133"/>
      <c r="BE32" s="80">
        <f t="shared" si="18"/>
        <v>0</v>
      </c>
      <c r="BF32" s="132"/>
      <c r="BG32" s="133"/>
      <c r="BH32" s="81">
        <f t="shared" si="19"/>
        <v>610</v>
      </c>
      <c r="BI32" s="82">
        <f t="shared" si="202"/>
        <v>610</v>
      </c>
      <c r="BJ32" s="581">
        <f t="shared" si="195"/>
        <v>0</v>
      </c>
      <c r="BK32" s="580">
        <f t="shared" si="71"/>
        <v>0</v>
      </c>
      <c r="BL32" s="132"/>
      <c r="BM32" s="133"/>
      <c r="BN32" s="80">
        <f t="shared" si="21"/>
        <v>0</v>
      </c>
      <c r="BO32" s="132"/>
      <c r="BP32" s="133"/>
      <c r="BQ32" s="80">
        <f t="shared" si="22"/>
        <v>0</v>
      </c>
      <c r="BR32" s="132"/>
      <c r="BS32" s="133"/>
      <c r="BT32" s="81">
        <f t="shared" si="23"/>
        <v>0</v>
      </c>
      <c r="BU32" s="82">
        <f t="shared" si="203"/>
        <v>0</v>
      </c>
      <c r="BV32" s="581">
        <f t="shared" si="196"/>
        <v>0</v>
      </c>
      <c r="BW32" s="580">
        <f t="shared" si="131"/>
        <v>0</v>
      </c>
      <c r="BX32" s="132"/>
      <c r="BY32" s="133"/>
      <c r="BZ32" s="80">
        <f t="shared" si="132"/>
        <v>0</v>
      </c>
      <c r="CA32" s="132"/>
      <c r="CB32" s="133"/>
      <c r="CC32" s="80">
        <f t="shared" si="133"/>
        <v>0</v>
      </c>
      <c r="CD32" s="132"/>
      <c r="CE32" s="133"/>
      <c r="CF32" s="81">
        <f t="shared" si="134"/>
        <v>0</v>
      </c>
      <c r="CG32" s="82">
        <f t="shared" si="204"/>
        <v>0</v>
      </c>
      <c r="CH32" s="581">
        <f t="shared" si="197"/>
        <v>0</v>
      </c>
    </row>
    <row r="33" spans="1:86" s="101" customFormat="1">
      <c r="A33" s="109">
        <f>A29+1</f>
        <v>8</v>
      </c>
      <c r="B33" s="47" t="s">
        <v>160</v>
      </c>
      <c r="C33" s="570">
        <f t="shared" si="0"/>
        <v>0</v>
      </c>
      <c r="D33" s="48">
        <f>SUM(D34:D36)</f>
        <v>0</v>
      </c>
      <c r="E33" s="49">
        <f>SUM(E34:E36)</f>
        <v>0</v>
      </c>
      <c r="F33" s="50">
        <f t="shared" si="1"/>
        <v>0</v>
      </c>
      <c r="G33" s="48">
        <f>SUM(G34:G36)</f>
        <v>0</v>
      </c>
      <c r="H33" s="49">
        <f>SUM(H34:H36)</f>
        <v>0</v>
      </c>
      <c r="I33" s="50">
        <f t="shared" si="2"/>
        <v>13210</v>
      </c>
      <c r="J33" s="48">
        <f>SUM(J34:J36)</f>
        <v>13210</v>
      </c>
      <c r="K33" s="49">
        <f>SUM(K34:K36)</f>
        <v>0</v>
      </c>
      <c r="L33" s="411">
        <f t="shared" si="3"/>
        <v>13210</v>
      </c>
      <c r="M33" s="55">
        <f>SUM(M34:M36)</f>
        <v>13210</v>
      </c>
      <c r="N33" s="571">
        <f>SUM(N34:N36)</f>
        <v>0</v>
      </c>
      <c r="O33" s="50">
        <f t="shared" si="4"/>
        <v>0</v>
      </c>
      <c r="P33" s="48">
        <f>SUM(P34:P36)</f>
        <v>0</v>
      </c>
      <c r="Q33" s="49">
        <f>SUM(Q34:Q36)</f>
        <v>0</v>
      </c>
      <c r="R33" s="50">
        <f t="shared" si="5"/>
        <v>0</v>
      </c>
      <c r="S33" s="48">
        <f>SUM(S34:S36)</f>
        <v>0</v>
      </c>
      <c r="T33" s="49">
        <f>SUM(T34:T36)</f>
        <v>0</v>
      </c>
      <c r="U33" s="50">
        <f t="shared" si="6"/>
        <v>0</v>
      </c>
      <c r="V33" s="48">
        <f>SUM(V34:V36)</f>
        <v>0</v>
      </c>
      <c r="W33" s="49">
        <f>SUM(W34:W36)</f>
        <v>0</v>
      </c>
      <c r="X33" s="54">
        <f t="shared" si="7"/>
        <v>0</v>
      </c>
      <c r="Y33" s="55">
        <f>SUM(Y34:Y36)</f>
        <v>0</v>
      </c>
      <c r="Z33" s="557">
        <f>SUM(Z34:Z36)</f>
        <v>0</v>
      </c>
      <c r="AA33" s="570">
        <f t="shared" si="8"/>
        <v>0</v>
      </c>
      <c r="AB33" s="48">
        <f>SUM(AB34:AB36)</f>
        <v>0</v>
      </c>
      <c r="AC33" s="49">
        <f>SUM(AC34:AC36)</f>
        <v>0</v>
      </c>
      <c r="AD33" s="50">
        <f t="shared" si="9"/>
        <v>0</v>
      </c>
      <c r="AE33" s="48">
        <f>SUM(AE34:AE36)</f>
        <v>0</v>
      </c>
      <c r="AF33" s="49">
        <f>SUM(AF34:AF36)</f>
        <v>0</v>
      </c>
      <c r="AG33" s="50">
        <f t="shared" si="10"/>
        <v>870</v>
      </c>
      <c r="AH33" s="48">
        <f>SUM(AH34:AH36)</f>
        <v>870</v>
      </c>
      <c r="AI33" s="49">
        <f>SUM(AI34:AI36)</f>
        <v>0</v>
      </c>
      <c r="AJ33" s="54">
        <f t="shared" si="11"/>
        <v>870</v>
      </c>
      <c r="AK33" s="55">
        <f>SUM(AK34:AK36)</f>
        <v>870</v>
      </c>
      <c r="AL33" s="571">
        <f>SUM(AL34:AL36)</f>
        <v>0</v>
      </c>
      <c r="AM33" s="50">
        <f t="shared" si="12"/>
        <v>0</v>
      </c>
      <c r="AN33" s="48">
        <f>SUM(AN34:AN36)</f>
        <v>0</v>
      </c>
      <c r="AO33" s="49">
        <f>SUM(AO34:AO36)</f>
        <v>0</v>
      </c>
      <c r="AP33" s="50">
        <f t="shared" si="13"/>
        <v>0</v>
      </c>
      <c r="AQ33" s="48">
        <f>SUM(AQ34:AQ36)</f>
        <v>0</v>
      </c>
      <c r="AR33" s="49">
        <f>SUM(AR34:AR36)</f>
        <v>0</v>
      </c>
      <c r="AS33" s="50">
        <f t="shared" si="14"/>
        <v>0</v>
      </c>
      <c r="AT33" s="48">
        <f>SUM(AT34:AT36)</f>
        <v>0</v>
      </c>
      <c r="AU33" s="49">
        <f>SUM(AU34:AU36)</f>
        <v>0</v>
      </c>
      <c r="AV33" s="411">
        <f t="shared" si="15"/>
        <v>0</v>
      </c>
      <c r="AW33" s="55">
        <f>SUM(AW34:AW36)</f>
        <v>0</v>
      </c>
      <c r="AX33" s="557">
        <f>SUM(AX34:AX36)</f>
        <v>0</v>
      </c>
      <c r="AY33" s="570">
        <f t="shared" si="66"/>
        <v>610</v>
      </c>
      <c r="AZ33" s="48">
        <f>SUM(AZ34:AZ36)</f>
        <v>610</v>
      </c>
      <c r="BA33" s="49">
        <f>SUM(BA34:BA36)</f>
        <v>0</v>
      </c>
      <c r="BB33" s="50">
        <f t="shared" si="17"/>
        <v>0</v>
      </c>
      <c r="BC33" s="48">
        <f>SUM(BC34:BC36)</f>
        <v>0</v>
      </c>
      <c r="BD33" s="49">
        <f>SUM(BD34:BD36)</f>
        <v>0</v>
      </c>
      <c r="BE33" s="50">
        <f t="shared" si="18"/>
        <v>0</v>
      </c>
      <c r="BF33" s="48">
        <f>SUM(BF34:BF36)</f>
        <v>0</v>
      </c>
      <c r="BG33" s="49">
        <f>SUM(BG34:BG36)</f>
        <v>0</v>
      </c>
      <c r="BH33" s="54">
        <f t="shared" si="19"/>
        <v>610</v>
      </c>
      <c r="BI33" s="55">
        <f>SUM(BI34:BI36)</f>
        <v>610</v>
      </c>
      <c r="BJ33" s="571">
        <f>SUM(BJ34:BJ36)</f>
        <v>0</v>
      </c>
      <c r="BK33" s="570">
        <f t="shared" si="71"/>
        <v>0</v>
      </c>
      <c r="BL33" s="48">
        <f>SUM(BL34:BL36)</f>
        <v>0</v>
      </c>
      <c r="BM33" s="49">
        <f>SUM(BM34:BM36)</f>
        <v>0</v>
      </c>
      <c r="BN33" s="50">
        <f t="shared" si="21"/>
        <v>0</v>
      </c>
      <c r="BO33" s="48">
        <f>SUM(BO34:BO36)</f>
        <v>0</v>
      </c>
      <c r="BP33" s="49">
        <f>SUM(BP34:BP36)</f>
        <v>0</v>
      </c>
      <c r="BQ33" s="50">
        <f t="shared" si="22"/>
        <v>0</v>
      </c>
      <c r="BR33" s="48">
        <f>SUM(BR34:BR36)</f>
        <v>0</v>
      </c>
      <c r="BS33" s="49">
        <f>SUM(BS34:BS36)</f>
        <v>0</v>
      </c>
      <c r="BT33" s="54">
        <f t="shared" si="23"/>
        <v>0</v>
      </c>
      <c r="BU33" s="55">
        <f>SUM(BU34:BU36)</f>
        <v>0</v>
      </c>
      <c r="BV33" s="571">
        <f>SUM(BV34:BV36)</f>
        <v>0</v>
      </c>
      <c r="BW33" s="570">
        <f t="shared" si="131"/>
        <v>0</v>
      </c>
      <c r="BX33" s="48">
        <f>SUM(BX34:BX36)</f>
        <v>0</v>
      </c>
      <c r="BY33" s="49">
        <f>SUM(BY34:BY36)</f>
        <v>0</v>
      </c>
      <c r="BZ33" s="50">
        <f t="shared" si="132"/>
        <v>0</v>
      </c>
      <c r="CA33" s="48">
        <f>SUM(CA34:CA36)</f>
        <v>0</v>
      </c>
      <c r="CB33" s="49">
        <f>SUM(CB34:CB36)</f>
        <v>0</v>
      </c>
      <c r="CC33" s="50">
        <f t="shared" si="133"/>
        <v>0</v>
      </c>
      <c r="CD33" s="48">
        <f>SUM(CD34:CD36)</f>
        <v>0</v>
      </c>
      <c r="CE33" s="49">
        <f>SUM(CE34:CE36)</f>
        <v>0</v>
      </c>
      <c r="CF33" s="54">
        <f t="shared" si="134"/>
        <v>0</v>
      </c>
      <c r="CG33" s="55">
        <f>SUM(CG34:CG36)</f>
        <v>0</v>
      </c>
      <c r="CH33" s="571">
        <f>SUM(CH34:CH36)</f>
        <v>0</v>
      </c>
    </row>
    <row r="34" spans="1:86" s="68" customFormat="1">
      <c r="A34" s="116" t="s">
        <v>290</v>
      </c>
      <c r="B34" s="85" t="s">
        <v>218</v>
      </c>
      <c r="C34" s="582">
        <f t="shared" si="0"/>
        <v>0</v>
      </c>
      <c r="D34" s="132"/>
      <c r="E34" s="133"/>
      <c r="F34" s="86">
        <f t="shared" si="1"/>
        <v>0</v>
      </c>
      <c r="G34" s="132"/>
      <c r="H34" s="133"/>
      <c r="I34" s="86">
        <f t="shared" si="2"/>
        <v>0</v>
      </c>
      <c r="J34" s="132"/>
      <c r="K34" s="133"/>
      <c r="L34" s="418">
        <f t="shared" si="3"/>
        <v>0</v>
      </c>
      <c r="M34" s="88">
        <f>D34+G34+J34</f>
        <v>0</v>
      </c>
      <c r="N34" s="583">
        <f t="shared" ref="N34:N40" si="205">E34+H34+K34</f>
        <v>0</v>
      </c>
      <c r="O34" s="86">
        <f t="shared" si="4"/>
        <v>0</v>
      </c>
      <c r="P34" s="132"/>
      <c r="Q34" s="133"/>
      <c r="R34" s="86">
        <f t="shared" si="5"/>
        <v>0</v>
      </c>
      <c r="S34" s="132"/>
      <c r="T34" s="133"/>
      <c r="U34" s="86">
        <f t="shared" si="6"/>
        <v>0</v>
      </c>
      <c r="V34" s="132"/>
      <c r="W34" s="133"/>
      <c r="X34" s="87">
        <f t="shared" si="7"/>
        <v>0</v>
      </c>
      <c r="Y34" s="88">
        <f>P34+S34+V34</f>
        <v>0</v>
      </c>
      <c r="Z34" s="562">
        <f t="shared" ref="Z34:Z40" si="206">Q34+T34+W34</f>
        <v>0</v>
      </c>
      <c r="AA34" s="582">
        <f t="shared" si="8"/>
        <v>0</v>
      </c>
      <c r="AB34" s="132"/>
      <c r="AC34" s="133"/>
      <c r="AD34" s="86">
        <f t="shared" si="9"/>
        <v>0</v>
      </c>
      <c r="AE34" s="132"/>
      <c r="AF34" s="133"/>
      <c r="AG34" s="86">
        <f t="shared" si="10"/>
        <v>0</v>
      </c>
      <c r="AH34" s="132"/>
      <c r="AI34" s="133"/>
      <c r="AJ34" s="87">
        <f t="shared" si="11"/>
        <v>0</v>
      </c>
      <c r="AK34" s="88">
        <f>AB34+AE34+AH34</f>
        <v>0</v>
      </c>
      <c r="AL34" s="583">
        <f t="shared" ref="AL34:AL40" si="207">AC34+AF34+AI34</f>
        <v>0</v>
      </c>
      <c r="AM34" s="86">
        <f t="shared" si="12"/>
        <v>0</v>
      </c>
      <c r="AN34" s="132"/>
      <c r="AO34" s="133"/>
      <c r="AP34" s="86">
        <f t="shared" si="13"/>
        <v>0</v>
      </c>
      <c r="AQ34" s="132"/>
      <c r="AR34" s="133"/>
      <c r="AS34" s="86">
        <f t="shared" si="14"/>
        <v>0</v>
      </c>
      <c r="AT34" s="132"/>
      <c r="AU34" s="133"/>
      <c r="AV34" s="418">
        <f t="shared" si="15"/>
        <v>0</v>
      </c>
      <c r="AW34" s="88">
        <f>AN34+AQ34+AT34</f>
        <v>0</v>
      </c>
      <c r="AX34" s="562">
        <f t="shared" ref="AX34:AX40" si="208">AO34+AR34+AU34</f>
        <v>0</v>
      </c>
      <c r="AY34" s="582">
        <f t="shared" si="66"/>
        <v>0</v>
      </c>
      <c r="AZ34" s="132"/>
      <c r="BA34" s="133"/>
      <c r="BB34" s="86">
        <f t="shared" si="17"/>
        <v>0</v>
      </c>
      <c r="BC34" s="132"/>
      <c r="BD34" s="133"/>
      <c r="BE34" s="86">
        <f t="shared" si="18"/>
        <v>0</v>
      </c>
      <c r="BF34" s="132"/>
      <c r="BG34" s="133"/>
      <c r="BH34" s="87">
        <f t="shared" si="19"/>
        <v>0</v>
      </c>
      <c r="BI34" s="88">
        <f>AZ34+BC34+BF34</f>
        <v>0</v>
      </c>
      <c r="BJ34" s="583">
        <f t="shared" ref="BJ34:BJ40" si="209">BA34+BD34+BG34</f>
        <v>0</v>
      </c>
      <c r="BK34" s="582">
        <f t="shared" si="71"/>
        <v>0</v>
      </c>
      <c r="BL34" s="132"/>
      <c r="BM34" s="133"/>
      <c r="BN34" s="86">
        <f t="shared" si="21"/>
        <v>0</v>
      </c>
      <c r="BO34" s="132"/>
      <c r="BP34" s="133"/>
      <c r="BQ34" s="86">
        <f t="shared" si="22"/>
        <v>0</v>
      </c>
      <c r="BR34" s="132"/>
      <c r="BS34" s="133"/>
      <c r="BT34" s="87">
        <f t="shared" si="23"/>
        <v>0</v>
      </c>
      <c r="BU34" s="88">
        <f>BL34+BO34+BR34</f>
        <v>0</v>
      </c>
      <c r="BV34" s="583">
        <f t="shared" ref="BV34:BV40" si="210">BM34+BP34+BS34</f>
        <v>0</v>
      </c>
      <c r="BW34" s="582">
        <f t="shared" si="131"/>
        <v>0</v>
      </c>
      <c r="BX34" s="132"/>
      <c r="BY34" s="133"/>
      <c r="BZ34" s="86">
        <f t="shared" si="132"/>
        <v>0</v>
      </c>
      <c r="CA34" s="132"/>
      <c r="CB34" s="133"/>
      <c r="CC34" s="86">
        <f t="shared" si="133"/>
        <v>0</v>
      </c>
      <c r="CD34" s="132"/>
      <c r="CE34" s="133"/>
      <c r="CF34" s="87">
        <f t="shared" si="134"/>
        <v>0</v>
      </c>
      <c r="CG34" s="88">
        <f>BX34+CA34+CD34</f>
        <v>0</v>
      </c>
      <c r="CH34" s="583">
        <f t="shared" ref="CH34:CH40" si="211">BY34+CB34+CE34</f>
        <v>0</v>
      </c>
    </row>
    <row r="35" spans="1:86" s="68" customFormat="1">
      <c r="A35" s="116" t="s">
        <v>291</v>
      </c>
      <c r="B35" s="89" t="s">
        <v>216</v>
      </c>
      <c r="C35" s="582">
        <f t="shared" si="0"/>
        <v>0</v>
      </c>
      <c r="D35" s="132"/>
      <c r="E35" s="133"/>
      <c r="F35" s="86">
        <f t="shared" si="1"/>
        <v>0</v>
      </c>
      <c r="G35" s="132"/>
      <c r="H35" s="133"/>
      <c r="I35" s="86">
        <f t="shared" si="2"/>
        <v>0</v>
      </c>
      <c r="J35" s="132"/>
      <c r="K35" s="133"/>
      <c r="L35" s="418">
        <f t="shared" si="3"/>
        <v>0</v>
      </c>
      <c r="M35" s="88">
        <f t="shared" ref="M35:M36" si="212">D35+G35+J35</f>
        <v>0</v>
      </c>
      <c r="N35" s="583">
        <f t="shared" si="205"/>
        <v>0</v>
      </c>
      <c r="O35" s="86">
        <f t="shared" si="4"/>
        <v>0</v>
      </c>
      <c r="P35" s="132"/>
      <c r="Q35" s="133"/>
      <c r="R35" s="86">
        <f t="shared" si="5"/>
        <v>0</v>
      </c>
      <c r="S35" s="132"/>
      <c r="T35" s="133"/>
      <c r="U35" s="86">
        <f t="shared" si="6"/>
        <v>0</v>
      </c>
      <c r="V35" s="132"/>
      <c r="W35" s="133"/>
      <c r="X35" s="87">
        <f t="shared" si="7"/>
        <v>0</v>
      </c>
      <c r="Y35" s="88">
        <f t="shared" ref="Y35:Y36" si="213">P35+S35+V35</f>
        <v>0</v>
      </c>
      <c r="Z35" s="562">
        <f t="shared" si="206"/>
        <v>0</v>
      </c>
      <c r="AA35" s="582">
        <f t="shared" si="8"/>
        <v>0</v>
      </c>
      <c r="AB35" s="132"/>
      <c r="AC35" s="133"/>
      <c r="AD35" s="86">
        <f t="shared" si="9"/>
        <v>0</v>
      </c>
      <c r="AE35" s="132"/>
      <c r="AF35" s="133"/>
      <c r="AG35" s="86">
        <f t="shared" si="10"/>
        <v>0</v>
      </c>
      <c r="AH35" s="132"/>
      <c r="AI35" s="133"/>
      <c r="AJ35" s="87">
        <f t="shared" si="11"/>
        <v>0</v>
      </c>
      <c r="AK35" s="88">
        <f t="shared" ref="AK35:AK36" si="214">AB35+AE35+AH35</f>
        <v>0</v>
      </c>
      <c r="AL35" s="583">
        <f t="shared" si="207"/>
        <v>0</v>
      </c>
      <c r="AM35" s="86">
        <f t="shared" si="12"/>
        <v>0</v>
      </c>
      <c r="AN35" s="132"/>
      <c r="AO35" s="133"/>
      <c r="AP35" s="86">
        <f t="shared" si="13"/>
        <v>0</v>
      </c>
      <c r="AQ35" s="132"/>
      <c r="AR35" s="133"/>
      <c r="AS35" s="86">
        <f t="shared" si="14"/>
        <v>0</v>
      </c>
      <c r="AT35" s="132"/>
      <c r="AU35" s="133"/>
      <c r="AV35" s="418">
        <f t="shared" si="15"/>
        <v>0</v>
      </c>
      <c r="AW35" s="88">
        <f t="shared" ref="AW35:AW36" si="215">AN35+AQ35+AT35</f>
        <v>0</v>
      </c>
      <c r="AX35" s="562">
        <f t="shared" si="208"/>
        <v>0</v>
      </c>
      <c r="AY35" s="582">
        <f t="shared" si="66"/>
        <v>0</v>
      </c>
      <c r="AZ35" s="132"/>
      <c r="BA35" s="133"/>
      <c r="BB35" s="86">
        <f t="shared" si="17"/>
        <v>0</v>
      </c>
      <c r="BC35" s="132"/>
      <c r="BD35" s="133"/>
      <c r="BE35" s="86">
        <f t="shared" si="18"/>
        <v>0</v>
      </c>
      <c r="BF35" s="132"/>
      <c r="BG35" s="133"/>
      <c r="BH35" s="87">
        <f t="shared" si="19"/>
        <v>0</v>
      </c>
      <c r="BI35" s="88">
        <f t="shared" ref="BI35:BI36" si="216">AZ35+BC35+BF35</f>
        <v>0</v>
      </c>
      <c r="BJ35" s="583">
        <f t="shared" si="209"/>
        <v>0</v>
      </c>
      <c r="BK35" s="582">
        <f t="shared" si="71"/>
        <v>0</v>
      </c>
      <c r="BL35" s="132"/>
      <c r="BM35" s="133"/>
      <c r="BN35" s="86">
        <f t="shared" si="21"/>
        <v>0</v>
      </c>
      <c r="BO35" s="132"/>
      <c r="BP35" s="133"/>
      <c r="BQ35" s="86">
        <f t="shared" si="22"/>
        <v>0</v>
      </c>
      <c r="BR35" s="132"/>
      <c r="BS35" s="133"/>
      <c r="BT35" s="87">
        <f t="shared" si="23"/>
        <v>0</v>
      </c>
      <c r="BU35" s="88">
        <f t="shared" ref="BU35:BU36" si="217">BL35+BO35+BR35</f>
        <v>0</v>
      </c>
      <c r="BV35" s="583">
        <f t="shared" si="210"/>
        <v>0</v>
      </c>
      <c r="BW35" s="582">
        <f t="shared" si="131"/>
        <v>0</v>
      </c>
      <c r="BX35" s="132"/>
      <c r="BY35" s="133"/>
      <c r="BZ35" s="86">
        <f t="shared" si="132"/>
        <v>0</v>
      </c>
      <c r="CA35" s="132"/>
      <c r="CB35" s="133"/>
      <c r="CC35" s="86">
        <f t="shared" si="133"/>
        <v>0</v>
      </c>
      <c r="CD35" s="132"/>
      <c r="CE35" s="133"/>
      <c r="CF35" s="87">
        <f t="shared" si="134"/>
        <v>0</v>
      </c>
      <c r="CG35" s="88">
        <f t="shared" ref="CG35:CG36" si="218">BX35+CA35+CD35</f>
        <v>0</v>
      </c>
      <c r="CH35" s="583">
        <f t="shared" si="211"/>
        <v>0</v>
      </c>
    </row>
    <row r="36" spans="1:86" s="68" customFormat="1">
      <c r="A36" s="116" t="s">
        <v>292</v>
      </c>
      <c r="B36" s="90" t="s">
        <v>217</v>
      </c>
      <c r="C36" s="582">
        <f t="shared" si="0"/>
        <v>0</v>
      </c>
      <c r="D36" s="132"/>
      <c r="E36" s="133"/>
      <c r="F36" s="86">
        <f t="shared" si="1"/>
        <v>0</v>
      </c>
      <c r="G36" s="132"/>
      <c r="H36" s="133"/>
      <c r="I36" s="86">
        <f t="shared" si="2"/>
        <v>13210</v>
      </c>
      <c r="J36" s="132">
        <v>13210</v>
      </c>
      <c r="K36" s="133"/>
      <c r="L36" s="418">
        <f t="shared" si="3"/>
        <v>13210</v>
      </c>
      <c r="M36" s="88">
        <f t="shared" si="212"/>
        <v>13210</v>
      </c>
      <c r="N36" s="583">
        <f t="shared" si="205"/>
        <v>0</v>
      </c>
      <c r="O36" s="86">
        <f t="shared" si="4"/>
        <v>0</v>
      </c>
      <c r="P36" s="132"/>
      <c r="Q36" s="133"/>
      <c r="R36" s="86">
        <f t="shared" si="5"/>
        <v>0</v>
      </c>
      <c r="S36" s="132"/>
      <c r="T36" s="133"/>
      <c r="U36" s="86">
        <f t="shared" si="6"/>
        <v>0</v>
      </c>
      <c r="V36" s="132"/>
      <c r="W36" s="133"/>
      <c r="X36" s="87">
        <f t="shared" si="7"/>
        <v>0</v>
      </c>
      <c r="Y36" s="88">
        <f t="shared" si="213"/>
        <v>0</v>
      </c>
      <c r="Z36" s="562">
        <f t="shared" si="206"/>
        <v>0</v>
      </c>
      <c r="AA36" s="582">
        <f t="shared" si="8"/>
        <v>0</v>
      </c>
      <c r="AB36" s="132"/>
      <c r="AC36" s="133"/>
      <c r="AD36" s="86">
        <f t="shared" si="9"/>
        <v>0</v>
      </c>
      <c r="AE36" s="132"/>
      <c r="AF36" s="133"/>
      <c r="AG36" s="86">
        <f t="shared" si="10"/>
        <v>870</v>
      </c>
      <c r="AH36" s="132">
        <v>870</v>
      </c>
      <c r="AI36" s="133"/>
      <c r="AJ36" s="87">
        <f t="shared" si="11"/>
        <v>870</v>
      </c>
      <c r="AK36" s="88">
        <f t="shared" si="214"/>
        <v>870</v>
      </c>
      <c r="AL36" s="583">
        <f t="shared" si="207"/>
        <v>0</v>
      </c>
      <c r="AM36" s="86">
        <f t="shared" si="12"/>
        <v>0</v>
      </c>
      <c r="AN36" s="132"/>
      <c r="AO36" s="133"/>
      <c r="AP36" s="86">
        <f t="shared" si="13"/>
        <v>0</v>
      </c>
      <c r="AQ36" s="132"/>
      <c r="AR36" s="133"/>
      <c r="AS36" s="86">
        <f t="shared" si="14"/>
        <v>0</v>
      </c>
      <c r="AT36" s="132"/>
      <c r="AU36" s="133"/>
      <c r="AV36" s="418">
        <f t="shared" si="15"/>
        <v>0</v>
      </c>
      <c r="AW36" s="88">
        <f t="shared" si="215"/>
        <v>0</v>
      </c>
      <c r="AX36" s="562">
        <f t="shared" si="208"/>
        <v>0</v>
      </c>
      <c r="AY36" s="582">
        <f t="shared" si="66"/>
        <v>610</v>
      </c>
      <c r="AZ36" s="132">
        <v>610</v>
      </c>
      <c r="BA36" s="133"/>
      <c r="BB36" s="86">
        <f t="shared" si="17"/>
        <v>0</v>
      </c>
      <c r="BC36" s="132"/>
      <c r="BD36" s="133"/>
      <c r="BE36" s="86">
        <f t="shared" si="18"/>
        <v>0</v>
      </c>
      <c r="BF36" s="132"/>
      <c r="BG36" s="133"/>
      <c r="BH36" s="87">
        <f t="shared" si="19"/>
        <v>610</v>
      </c>
      <c r="BI36" s="88">
        <f t="shared" si="216"/>
        <v>610</v>
      </c>
      <c r="BJ36" s="583">
        <f t="shared" si="209"/>
        <v>0</v>
      </c>
      <c r="BK36" s="582">
        <f t="shared" si="71"/>
        <v>0</v>
      </c>
      <c r="BL36" s="132"/>
      <c r="BM36" s="133"/>
      <c r="BN36" s="86">
        <f t="shared" si="21"/>
        <v>0</v>
      </c>
      <c r="BO36" s="132"/>
      <c r="BP36" s="133"/>
      <c r="BQ36" s="86">
        <f t="shared" si="22"/>
        <v>0</v>
      </c>
      <c r="BR36" s="132"/>
      <c r="BS36" s="133"/>
      <c r="BT36" s="87">
        <f t="shared" si="23"/>
        <v>0</v>
      </c>
      <c r="BU36" s="88">
        <f t="shared" si="217"/>
        <v>0</v>
      </c>
      <c r="BV36" s="583">
        <f t="shared" si="210"/>
        <v>0</v>
      </c>
      <c r="BW36" s="582">
        <f t="shared" si="131"/>
        <v>0</v>
      </c>
      <c r="BX36" s="132"/>
      <c r="BY36" s="133"/>
      <c r="BZ36" s="86">
        <f t="shared" si="132"/>
        <v>0</v>
      </c>
      <c r="CA36" s="132"/>
      <c r="CB36" s="133"/>
      <c r="CC36" s="86">
        <f t="shared" si="133"/>
        <v>0</v>
      </c>
      <c r="CD36" s="132"/>
      <c r="CE36" s="133"/>
      <c r="CF36" s="87">
        <f t="shared" si="134"/>
        <v>0</v>
      </c>
      <c r="CG36" s="88">
        <f t="shared" si="218"/>
        <v>0</v>
      </c>
      <c r="CH36" s="583">
        <f t="shared" si="211"/>
        <v>0</v>
      </c>
    </row>
    <row r="37" spans="1:86" s="101" customFormat="1">
      <c r="A37" s="117">
        <f>A33+1</f>
        <v>9</v>
      </c>
      <c r="B37" s="94" t="s">
        <v>38</v>
      </c>
      <c r="C37" s="584">
        <f t="shared" si="0"/>
        <v>0</v>
      </c>
      <c r="D37" s="125">
        <f>SUM(D38:D40)</f>
        <v>0</v>
      </c>
      <c r="E37" s="126">
        <f>SUM(E38:E40)</f>
        <v>0</v>
      </c>
      <c r="F37" s="127">
        <f t="shared" si="1"/>
        <v>11071.3</v>
      </c>
      <c r="G37" s="125">
        <f>SUM(G38:G40)</f>
        <v>11071.3</v>
      </c>
      <c r="H37" s="126">
        <f>SUM(H38:H40)</f>
        <v>0</v>
      </c>
      <c r="I37" s="127">
        <f t="shared" si="2"/>
        <v>-11071.3</v>
      </c>
      <c r="J37" s="125">
        <f>SUM(J38:J40)</f>
        <v>-11071.3</v>
      </c>
      <c r="K37" s="126">
        <f>SUM(K38:K40)</f>
        <v>0</v>
      </c>
      <c r="L37" s="419">
        <f t="shared" si="3"/>
        <v>0</v>
      </c>
      <c r="M37" s="93">
        <f>SUM(M38:M40)</f>
        <v>0</v>
      </c>
      <c r="N37" s="585">
        <f t="shared" si="205"/>
        <v>0</v>
      </c>
      <c r="O37" s="127">
        <f t="shared" si="4"/>
        <v>0</v>
      </c>
      <c r="P37" s="125">
        <f>SUM(P38:P40)</f>
        <v>0</v>
      </c>
      <c r="Q37" s="126">
        <f>SUM(Q38:Q40)</f>
        <v>0</v>
      </c>
      <c r="R37" s="127">
        <f t="shared" si="5"/>
        <v>837380</v>
      </c>
      <c r="S37" s="125">
        <f>SUM(S38:S40)</f>
        <v>837380</v>
      </c>
      <c r="T37" s="126">
        <f>SUM(T38:T40)</f>
        <v>0</v>
      </c>
      <c r="U37" s="127">
        <f t="shared" si="6"/>
        <v>-837380</v>
      </c>
      <c r="V37" s="125">
        <f>SUM(V38:V40)</f>
        <v>-837380</v>
      </c>
      <c r="W37" s="126">
        <f>SUM(W38:W40)</f>
        <v>0</v>
      </c>
      <c r="X37" s="92">
        <f t="shared" si="7"/>
        <v>0</v>
      </c>
      <c r="Y37" s="93">
        <f>SUM(Y38:Y40)</f>
        <v>0</v>
      </c>
      <c r="Z37" s="563">
        <f t="shared" si="206"/>
        <v>0</v>
      </c>
      <c r="AA37" s="584">
        <f t="shared" si="8"/>
        <v>0</v>
      </c>
      <c r="AB37" s="125">
        <f>SUM(AB38:AB40)</f>
        <v>0</v>
      </c>
      <c r="AC37" s="126">
        <f>SUM(AC38:AC40)</f>
        <v>0</v>
      </c>
      <c r="AD37" s="127">
        <f t="shared" si="9"/>
        <v>4562744</v>
      </c>
      <c r="AE37" s="125">
        <f>SUM(AE38:AE40)</f>
        <v>4562744</v>
      </c>
      <c r="AF37" s="126">
        <f>SUM(AF38:AF40)</f>
        <v>0</v>
      </c>
      <c r="AG37" s="127">
        <f t="shared" si="10"/>
        <v>-4562744</v>
      </c>
      <c r="AH37" s="125">
        <f>SUM(AH38:AH40)</f>
        <v>-4562744</v>
      </c>
      <c r="AI37" s="126">
        <f>SUM(AI38:AI40)</f>
        <v>0</v>
      </c>
      <c r="AJ37" s="92">
        <f t="shared" si="11"/>
        <v>0</v>
      </c>
      <c r="AK37" s="93">
        <f>SUM(AK38:AK40)</f>
        <v>0</v>
      </c>
      <c r="AL37" s="585">
        <f t="shared" si="207"/>
        <v>0</v>
      </c>
      <c r="AM37" s="127">
        <f t="shared" si="12"/>
        <v>0</v>
      </c>
      <c r="AN37" s="125">
        <f>SUM(AN38:AN40)</f>
        <v>0</v>
      </c>
      <c r="AO37" s="126">
        <f>SUM(AO38:AO40)</f>
        <v>0</v>
      </c>
      <c r="AP37" s="127">
        <f t="shared" si="13"/>
        <v>1299944</v>
      </c>
      <c r="AQ37" s="125">
        <f>SUM(AQ38:AQ40)</f>
        <v>1288207.31</v>
      </c>
      <c r="AR37" s="126">
        <f>SUM(AR38:AR40)</f>
        <v>11736.69</v>
      </c>
      <c r="AS37" s="127">
        <f t="shared" si="14"/>
        <v>-1299944</v>
      </c>
      <c r="AT37" s="125">
        <f>SUM(AT38:AT40)</f>
        <v>-1288207.31</v>
      </c>
      <c r="AU37" s="126">
        <f>SUM(AU38:AU40)</f>
        <v>-11736.69</v>
      </c>
      <c r="AV37" s="419">
        <f t="shared" si="15"/>
        <v>0</v>
      </c>
      <c r="AW37" s="93">
        <f>SUM(AW38:AW40)</f>
        <v>0</v>
      </c>
      <c r="AX37" s="563">
        <f t="shared" si="208"/>
        <v>0</v>
      </c>
      <c r="AY37" s="584">
        <f t="shared" si="66"/>
        <v>0</v>
      </c>
      <c r="AZ37" s="125">
        <f>SUM(AZ38:AZ40)</f>
        <v>0</v>
      </c>
      <c r="BA37" s="126">
        <f>SUM(BA38:BA40)</f>
        <v>0</v>
      </c>
      <c r="BB37" s="127">
        <f t="shared" si="17"/>
        <v>0</v>
      </c>
      <c r="BC37" s="125">
        <f>SUM(BC38:BC40)</f>
        <v>0</v>
      </c>
      <c r="BD37" s="126">
        <f>SUM(BD38:BD40)</f>
        <v>0</v>
      </c>
      <c r="BE37" s="127">
        <f t="shared" si="18"/>
        <v>0</v>
      </c>
      <c r="BF37" s="125">
        <f>SUM(BF38:BF40)</f>
        <v>0</v>
      </c>
      <c r="BG37" s="126">
        <f>SUM(BG38:BG40)</f>
        <v>0</v>
      </c>
      <c r="BH37" s="92">
        <f t="shared" si="19"/>
        <v>0</v>
      </c>
      <c r="BI37" s="93">
        <f>SUM(BI38:BI40)</f>
        <v>0</v>
      </c>
      <c r="BJ37" s="585">
        <f t="shared" si="209"/>
        <v>0</v>
      </c>
      <c r="BK37" s="584">
        <f t="shared" si="71"/>
        <v>0</v>
      </c>
      <c r="BL37" s="125">
        <f>SUM(BL38:BL40)</f>
        <v>0</v>
      </c>
      <c r="BM37" s="126">
        <f>SUM(BM38:BM40)</f>
        <v>0</v>
      </c>
      <c r="BN37" s="127">
        <f t="shared" si="21"/>
        <v>0</v>
      </c>
      <c r="BO37" s="125">
        <f>SUM(BO38:BO40)</f>
        <v>0</v>
      </c>
      <c r="BP37" s="126">
        <f>SUM(BP38:BP40)</f>
        <v>0</v>
      </c>
      <c r="BQ37" s="127">
        <f t="shared" si="22"/>
        <v>0</v>
      </c>
      <c r="BR37" s="125">
        <f>SUM(BR38:BR40)</f>
        <v>0</v>
      </c>
      <c r="BS37" s="126">
        <f>SUM(BS38:BS40)</f>
        <v>0</v>
      </c>
      <c r="BT37" s="92">
        <f t="shared" si="23"/>
        <v>0</v>
      </c>
      <c r="BU37" s="93">
        <f>SUM(BU38:BU40)</f>
        <v>0</v>
      </c>
      <c r="BV37" s="585">
        <f t="shared" si="210"/>
        <v>0</v>
      </c>
      <c r="BW37" s="584">
        <f t="shared" si="131"/>
        <v>0</v>
      </c>
      <c r="BX37" s="125">
        <f>SUM(BX38:BX40)</f>
        <v>0</v>
      </c>
      <c r="BY37" s="126">
        <f>SUM(BY38:BY40)</f>
        <v>0</v>
      </c>
      <c r="BZ37" s="127">
        <f t="shared" si="132"/>
        <v>0</v>
      </c>
      <c r="CA37" s="125">
        <f>SUM(CA38:CA40)</f>
        <v>0</v>
      </c>
      <c r="CB37" s="126">
        <f>SUM(CB38:CB40)</f>
        <v>0</v>
      </c>
      <c r="CC37" s="127">
        <f t="shared" si="133"/>
        <v>0</v>
      </c>
      <c r="CD37" s="125">
        <f>SUM(CD38:CD40)</f>
        <v>0</v>
      </c>
      <c r="CE37" s="126">
        <f>SUM(CE38:CE40)</f>
        <v>0</v>
      </c>
      <c r="CF37" s="92">
        <f t="shared" si="134"/>
        <v>0</v>
      </c>
      <c r="CG37" s="93">
        <f>SUM(CG38:CG40)</f>
        <v>0</v>
      </c>
      <c r="CH37" s="585">
        <f t="shared" si="211"/>
        <v>0</v>
      </c>
    </row>
    <row r="38" spans="1:86" s="68" customFormat="1">
      <c r="A38" s="115" t="s">
        <v>293</v>
      </c>
      <c r="B38" s="79" t="s">
        <v>218</v>
      </c>
      <c r="C38" s="580">
        <f t="shared" si="0"/>
        <v>0</v>
      </c>
      <c r="D38" s="132"/>
      <c r="E38" s="133"/>
      <c r="F38" s="80">
        <f t="shared" si="1"/>
        <v>0</v>
      </c>
      <c r="G38" s="132"/>
      <c r="H38" s="133"/>
      <c r="I38" s="80">
        <f t="shared" si="2"/>
        <v>0</v>
      </c>
      <c r="J38" s="132"/>
      <c r="K38" s="133"/>
      <c r="L38" s="417">
        <f t="shared" si="3"/>
        <v>0</v>
      </c>
      <c r="M38" s="82">
        <f>D38+G38+J38</f>
        <v>0</v>
      </c>
      <c r="N38" s="581">
        <f t="shared" si="205"/>
        <v>0</v>
      </c>
      <c r="O38" s="80">
        <f t="shared" si="4"/>
        <v>0</v>
      </c>
      <c r="P38" s="132"/>
      <c r="Q38" s="133"/>
      <c r="R38" s="80">
        <f t="shared" si="5"/>
        <v>0</v>
      </c>
      <c r="S38" s="132"/>
      <c r="T38" s="133"/>
      <c r="U38" s="80">
        <f t="shared" si="6"/>
        <v>0</v>
      </c>
      <c r="V38" s="132"/>
      <c r="W38" s="133"/>
      <c r="X38" s="81">
        <f t="shared" si="7"/>
        <v>0</v>
      </c>
      <c r="Y38" s="82">
        <f>P38+S38+V38</f>
        <v>0</v>
      </c>
      <c r="Z38" s="564">
        <f t="shared" si="206"/>
        <v>0</v>
      </c>
      <c r="AA38" s="580">
        <f t="shared" si="8"/>
        <v>0</v>
      </c>
      <c r="AB38" s="132"/>
      <c r="AC38" s="133"/>
      <c r="AD38" s="80">
        <f t="shared" si="9"/>
        <v>0</v>
      </c>
      <c r="AE38" s="132"/>
      <c r="AF38" s="133"/>
      <c r="AG38" s="80">
        <f t="shared" si="10"/>
        <v>0</v>
      </c>
      <c r="AH38" s="132"/>
      <c r="AI38" s="133"/>
      <c r="AJ38" s="81">
        <f t="shared" si="11"/>
        <v>0</v>
      </c>
      <c r="AK38" s="82">
        <f>AB38+AE38+AH38</f>
        <v>0</v>
      </c>
      <c r="AL38" s="581">
        <f t="shared" si="207"/>
        <v>0</v>
      </c>
      <c r="AM38" s="80">
        <f t="shared" si="12"/>
        <v>0</v>
      </c>
      <c r="AN38" s="132"/>
      <c r="AO38" s="133"/>
      <c r="AP38" s="80">
        <f t="shared" si="13"/>
        <v>0</v>
      </c>
      <c r="AQ38" s="132"/>
      <c r="AR38" s="133"/>
      <c r="AS38" s="80">
        <f t="shared" si="14"/>
        <v>0</v>
      </c>
      <c r="AT38" s="132"/>
      <c r="AU38" s="133"/>
      <c r="AV38" s="417">
        <f t="shared" si="15"/>
        <v>0</v>
      </c>
      <c r="AW38" s="82">
        <f>AN38+AQ38+AT38</f>
        <v>0</v>
      </c>
      <c r="AX38" s="564">
        <f t="shared" si="208"/>
        <v>0</v>
      </c>
      <c r="AY38" s="580">
        <f t="shared" si="66"/>
        <v>0</v>
      </c>
      <c r="AZ38" s="132"/>
      <c r="BA38" s="133"/>
      <c r="BB38" s="80">
        <f t="shared" si="17"/>
        <v>0</v>
      </c>
      <c r="BC38" s="132"/>
      <c r="BD38" s="133"/>
      <c r="BE38" s="80">
        <f t="shared" si="18"/>
        <v>0</v>
      </c>
      <c r="BF38" s="132"/>
      <c r="BG38" s="133"/>
      <c r="BH38" s="81">
        <f t="shared" si="19"/>
        <v>0</v>
      </c>
      <c r="BI38" s="82">
        <f>AZ38+BC38+BF38</f>
        <v>0</v>
      </c>
      <c r="BJ38" s="581">
        <f t="shared" si="209"/>
        <v>0</v>
      </c>
      <c r="BK38" s="580">
        <f t="shared" si="71"/>
        <v>0</v>
      </c>
      <c r="BL38" s="132"/>
      <c r="BM38" s="133"/>
      <c r="BN38" s="80">
        <f t="shared" si="21"/>
        <v>0</v>
      </c>
      <c r="BO38" s="132"/>
      <c r="BP38" s="133"/>
      <c r="BQ38" s="80">
        <f t="shared" si="22"/>
        <v>0</v>
      </c>
      <c r="BR38" s="132"/>
      <c r="BS38" s="133"/>
      <c r="BT38" s="81">
        <f t="shared" si="23"/>
        <v>0</v>
      </c>
      <c r="BU38" s="82">
        <f>BL38+BO38+BR38</f>
        <v>0</v>
      </c>
      <c r="BV38" s="581">
        <f t="shared" si="210"/>
        <v>0</v>
      </c>
      <c r="BW38" s="580">
        <f t="shared" si="131"/>
        <v>0</v>
      </c>
      <c r="BX38" s="132"/>
      <c r="BY38" s="133"/>
      <c r="BZ38" s="80">
        <f t="shared" si="132"/>
        <v>0</v>
      </c>
      <c r="CA38" s="132"/>
      <c r="CB38" s="133"/>
      <c r="CC38" s="80">
        <f t="shared" si="133"/>
        <v>0</v>
      </c>
      <c r="CD38" s="132"/>
      <c r="CE38" s="133"/>
      <c r="CF38" s="81">
        <f t="shared" si="134"/>
        <v>0</v>
      </c>
      <c r="CG38" s="82">
        <f>BX38+CA38+CD38</f>
        <v>0</v>
      </c>
      <c r="CH38" s="581">
        <f t="shared" si="211"/>
        <v>0</v>
      </c>
    </row>
    <row r="39" spans="1:86" s="68" customFormat="1">
      <c r="A39" s="115" t="s">
        <v>294</v>
      </c>
      <c r="B39" s="83" t="s">
        <v>216</v>
      </c>
      <c r="C39" s="580">
        <f t="shared" si="0"/>
        <v>0</v>
      </c>
      <c r="D39" s="132"/>
      <c r="E39" s="133"/>
      <c r="F39" s="80">
        <f t="shared" si="1"/>
        <v>0</v>
      </c>
      <c r="G39" s="132"/>
      <c r="H39" s="133"/>
      <c r="I39" s="80">
        <f t="shared" si="2"/>
        <v>0</v>
      </c>
      <c r="J39" s="132"/>
      <c r="K39" s="133"/>
      <c r="L39" s="417">
        <f t="shared" si="3"/>
        <v>0</v>
      </c>
      <c r="M39" s="82">
        <f t="shared" ref="M39:M40" si="219">D39+G39+J39</f>
        <v>0</v>
      </c>
      <c r="N39" s="581">
        <f t="shared" si="205"/>
        <v>0</v>
      </c>
      <c r="O39" s="80">
        <f t="shared" si="4"/>
        <v>0</v>
      </c>
      <c r="P39" s="132"/>
      <c r="Q39" s="133"/>
      <c r="R39" s="80">
        <f t="shared" si="5"/>
        <v>381128</v>
      </c>
      <c r="S39" s="132">
        <v>381128</v>
      </c>
      <c r="T39" s="133"/>
      <c r="U39" s="80">
        <f t="shared" si="6"/>
        <v>-381128</v>
      </c>
      <c r="V39" s="132">
        <v>-381128</v>
      </c>
      <c r="W39" s="133"/>
      <c r="X39" s="81">
        <f t="shared" si="7"/>
        <v>0</v>
      </c>
      <c r="Y39" s="82">
        <f t="shared" ref="Y39:Y40" si="220">P39+S39+V39</f>
        <v>0</v>
      </c>
      <c r="Z39" s="564">
        <f t="shared" si="206"/>
        <v>0</v>
      </c>
      <c r="AA39" s="580">
        <f t="shared" si="8"/>
        <v>0</v>
      </c>
      <c r="AB39" s="132"/>
      <c r="AC39" s="133"/>
      <c r="AD39" s="80">
        <f t="shared" si="9"/>
        <v>2980275</v>
      </c>
      <c r="AE39" s="132">
        <v>2980275</v>
      </c>
      <c r="AF39" s="133"/>
      <c r="AG39" s="80">
        <f t="shared" si="10"/>
        <v>-2980275</v>
      </c>
      <c r="AH39" s="132">
        <v>-2980275</v>
      </c>
      <c r="AI39" s="133"/>
      <c r="AJ39" s="81">
        <f t="shared" si="11"/>
        <v>0</v>
      </c>
      <c r="AK39" s="82">
        <f t="shared" ref="AK39:AK40" si="221">AB39+AE39+AH39</f>
        <v>0</v>
      </c>
      <c r="AL39" s="581">
        <f t="shared" si="207"/>
        <v>0</v>
      </c>
      <c r="AM39" s="80">
        <f t="shared" si="12"/>
        <v>0</v>
      </c>
      <c r="AN39" s="132"/>
      <c r="AO39" s="133"/>
      <c r="AP39" s="80">
        <f t="shared" si="13"/>
        <v>351790</v>
      </c>
      <c r="AQ39" s="132">
        <f>351790-AR39</f>
        <v>342881.81</v>
      </c>
      <c r="AR39" s="133">
        <f>-AU39</f>
        <v>8908.19</v>
      </c>
      <c r="AS39" s="80">
        <f t="shared" si="14"/>
        <v>-351790</v>
      </c>
      <c r="AT39" s="132">
        <f>-351790-AU39</f>
        <v>-342881.81</v>
      </c>
      <c r="AU39" s="133">
        <f>-AU15</f>
        <v>-8908.19</v>
      </c>
      <c r="AV39" s="417">
        <f t="shared" si="15"/>
        <v>0</v>
      </c>
      <c r="AW39" s="82">
        <f t="shared" ref="AW39:AW40" si="222">AN39+AQ39+AT39</f>
        <v>0</v>
      </c>
      <c r="AX39" s="564">
        <f t="shared" si="208"/>
        <v>0</v>
      </c>
      <c r="AY39" s="580">
        <f t="shared" si="66"/>
        <v>0</v>
      </c>
      <c r="AZ39" s="132"/>
      <c r="BA39" s="133"/>
      <c r="BB39" s="80">
        <f t="shared" si="17"/>
        <v>0</v>
      </c>
      <c r="BC39" s="132"/>
      <c r="BD39" s="133"/>
      <c r="BE39" s="80">
        <f t="shared" si="18"/>
        <v>0</v>
      </c>
      <c r="BF39" s="132"/>
      <c r="BG39" s="133"/>
      <c r="BH39" s="81">
        <f t="shared" si="19"/>
        <v>0</v>
      </c>
      <c r="BI39" s="82">
        <f t="shared" ref="BI39:BI40" si="223">AZ39+BC39+BF39</f>
        <v>0</v>
      </c>
      <c r="BJ39" s="581">
        <f t="shared" si="209"/>
        <v>0</v>
      </c>
      <c r="BK39" s="580">
        <f t="shared" si="71"/>
        <v>0</v>
      </c>
      <c r="BL39" s="132"/>
      <c r="BM39" s="133"/>
      <c r="BN39" s="80">
        <f t="shared" si="21"/>
        <v>0</v>
      </c>
      <c r="BO39" s="132"/>
      <c r="BP39" s="133"/>
      <c r="BQ39" s="80">
        <f t="shared" si="22"/>
        <v>0</v>
      </c>
      <c r="BR39" s="132"/>
      <c r="BS39" s="133"/>
      <c r="BT39" s="81">
        <f t="shared" si="23"/>
        <v>0</v>
      </c>
      <c r="BU39" s="82">
        <f t="shared" ref="BU39:BU40" si="224">BL39+BO39+BR39</f>
        <v>0</v>
      </c>
      <c r="BV39" s="581">
        <f t="shared" si="210"/>
        <v>0</v>
      </c>
      <c r="BW39" s="580">
        <f t="shared" si="131"/>
        <v>0</v>
      </c>
      <c r="BX39" s="132"/>
      <c r="BY39" s="133"/>
      <c r="BZ39" s="80">
        <f t="shared" si="132"/>
        <v>0</v>
      </c>
      <c r="CA39" s="132"/>
      <c r="CB39" s="133"/>
      <c r="CC39" s="80">
        <f t="shared" si="133"/>
        <v>0</v>
      </c>
      <c r="CD39" s="132"/>
      <c r="CE39" s="133"/>
      <c r="CF39" s="81">
        <f t="shared" si="134"/>
        <v>0</v>
      </c>
      <c r="CG39" s="82">
        <f t="shared" ref="CG39:CG40" si="225">BX39+CA39+CD39</f>
        <v>0</v>
      </c>
      <c r="CH39" s="581">
        <f t="shared" si="211"/>
        <v>0</v>
      </c>
    </row>
    <row r="40" spans="1:86" s="68" customFormat="1">
      <c r="A40" s="115" t="s">
        <v>295</v>
      </c>
      <c r="B40" s="84" t="s">
        <v>217</v>
      </c>
      <c r="C40" s="580">
        <f t="shared" si="0"/>
        <v>0</v>
      </c>
      <c r="D40" s="132"/>
      <c r="E40" s="133"/>
      <c r="F40" s="80">
        <f t="shared" si="1"/>
        <v>11071.3</v>
      </c>
      <c r="G40" s="132">
        <v>11071.3</v>
      </c>
      <c r="H40" s="133"/>
      <c r="I40" s="80">
        <f t="shared" si="2"/>
        <v>-11071.3</v>
      </c>
      <c r="J40" s="132">
        <v>-11071.3</v>
      </c>
      <c r="K40" s="133"/>
      <c r="L40" s="417">
        <f t="shared" si="3"/>
        <v>0</v>
      </c>
      <c r="M40" s="82">
        <f t="shared" si="219"/>
        <v>0</v>
      </c>
      <c r="N40" s="581">
        <f t="shared" si="205"/>
        <v>0</v>
      </c>
      <c r="O40" s="80">
        <f t="shared" si="4"/>
        <v>0</v>
      </c>
      <c r="P40" s="132"/>
      <c r="Q40" s="133"/>
      <c r="R40" s="80">
        <f t="shared" si="5"/>
        <v>456252</v>
      </c>
      <c r="S40" s="132">
        <v>456252</v>
      </c>
      <c r="T40" s="133"/>
      <c r="U40" s="80">
        <f t="shared" si="6"/>
        <v>-456252</v>
      </c>
      <c r="V40" s="132">
        <v>-456252</v>
      </c>
      <c r="W40" s="133"/>
      <c r="X40" s="81">
        <f t="shared" si="7"/>
        <v>0</v>
      </c>
      <c r="Y40" s="82">
        <f t="shared" si="220"/>
        <v>0</v>
      </c>
      <c r="Z40" s="564">
        <f t="shared" si="206"/>
        <v>0</v>
      </c>
      <c r="AA40" s="580">
        <f t="shared" si="8"/>
        <v>0</v>
      </c>
      <c r="AB40" s="132"/>
      <c r="AC40" s="133"/>
      <c r="AD40" s="80">
        <f t="shared" si="9"/>
        <v>1582469</v>
      </c>
      <c r="AE40" s="132">
        <v>1582469</v>
      </c>
      <c r="AF40" s="133"/>
      <c r="AG40" s="80">
        <f t="shared" si="10"/>
        <v>-1582469</v>
      </c>
      <c r="AH40" s="132">
        <v>-1582469</v>
      </c>
      <c r="AI40" s="133"/>
      <c r="AJ40" s="81">
        <f t="shared" si="11"/>
        <v>0</v>
      </c>
      <c r="AK40" s="82">
        <f t="shared" si="221"/>
        <v>0</v>
      </c>
      <c r="AL40" s="581">
        <f t="shared" si="207"/>
        <v>0</v>
      </c>
      <c r="AM40" s="80">
        <f t="shared" si="12"/>
        <v>0</v>
      </c>
      <c r="AN40" s="132"/>
      <c r="AO40" s="133"/>
      <c r="AP40" s="80">
        <f t="shared" si="13"/>
        <v>948154</v>
      </c>
      <c r="AQ40" s="132">
        <f>948154-AR40</f>
        <v>945325.5</v>
      </c>
      <c r="AR40" s="133">
        <f>-AU40</f>
        <v>2828.5</v>
      </c>
      <c r="AS40" s="80">
        <f t="shared" si="14"/>
        <v>-948154</v>
      </c>
      <c r="AT40" s="132">
        <f>-948154-AU40</f>
        <v>-945325.5</v>
      </c>
      <c r="AU40" s="133">
        <f>-AU16</f>
        <v>-2828.5</v>
      </c>
      <c r="AV40" s="417">
        <f t="shared" si="15"/>
        <v>0</v>
      </c>
      <c r="AW40" s="82">
        <f t="shared" si="222"/>
        <v>0</v>
      </c>
      <c r="AX40" s="564">
        <f t="shared" si="208"/>
        <v>0</v>
      </c>
      <c r="AY40" s="580">
        <f t="shared" si="66"/>
        <v>0</v>
      </c>
      <c r="AZ40" s="132"/>
      <c r="BA40" s="133"/>
      <c r="BB40" s="80">
        <f t="shared" si="17"/>
        <v>0</v>
      </c>
      <c r="BC40" s="132"/>
      <c r="BD40" s="133"/>
      <c r="BE40" s="80">
        <f t="shared" si="18"/>
        <v>0</v>
      </c>
      <c r="BF40" s="132"/>
      <c r="BG40" s="133"/>
      <c r="BH40" s="81">
        <f t="shared" si="19"/>
        <v>0</v>
      </c>
      <c r="BI40" s="82">
        <f t="shared" si="223"/>
        <v>0</v>
      </c>
      <c r="BJ40" s="581">
        <f t="shared" si="209"/>
        <v>0</v>
      </c>
      <c r="BK40" s="580">
        <f t="shared" si="71"/>
        <v>0</v>
      </c>
      <c r="BL40" s="132"/>
      <c r="BM40" s="133"/>
      <c r="BN40" s="80">
        <f t="shared" si="21"/>
        <v>0</v>
      </c>
      <c r="BO40" s="132"/>
      <c r="BP40" s="133"/>
      <c r="BQ40" s="80">
        <f t="shared" si="22"/>
        <v>0</v>
      </c>
      <c r="BR40" s="132"/>
      <c r="BS40" s="133"/>
      <c r="BT40" s="81">
        <f t="shared" si="23"/>
        <v>0</v>
      </c>
      <c r="BU40" s="82">
        <f t="shared" si="224"/>
        <v>0</v>
      </c>
      <c r="BV40" s="581">
        <f t="shared" si="210"/>
        <v>0</v>
      </c>
      <c r="BW40" s="580">
        <f t="shared" si="131"/>
        <v>0</v>
      </c>
      <c r="BX40" s="132"/>
      <c r="BY40" s="133"/>
      <c r="BZ40" s="80">
        <f t="shared" si="132"/>
        <v>0</v>
      </c>
      <c r="CA40" s="132"/>
      <c r="CB40" s="133"/>
      <c r="CC40" s="80">
        <f t="shared" si="133"/>
        <v>0</v>
      </c>
      <c r="CD40" s="132"/>
      <c r="CE40" s="133"/>
      <c r="CF40" s="81">
        <f t="shared" si="134"/>
        <v>0</v>
      </c>
      <c r="CG40" s="82">
        <f t="shared" si="225"/>
        <v>0</v>
      </c>
      <c r="CH40" s="581">
        <f t="shared" si="211"/>
        <v>0</v>
      </c>
    </row>
    <row r="41" spans="1:86" s="101" customFormat="1">
      <c r="A41" s="109">
        <f>A37+1</f>
        <v>10</v>
      </c>
      <c r="B41" s="95" t="s">
        <v>39</v>
      </c>
      <c r="C41" s="570">
        <f t="shared" si="0"/>
        <v>0</v>
      </c>
      <c r="D41" s="48">
        <f>SUM(D42:D44)</f>
        <v>0</v>
      </c>
      <c r="E41" s="49">
        <f>SUM(E42:E44)</f>
        <v>0</v>
      </c>
      <c r="F41" s="50">
        <f t="shared" si="1"/>
        <v>11071.3</v>
      </c>
      <c r="G41" s="48">
        <f>SUM(G42:G44)</f>
        <v>11071.3</v>
      </c>
      <c r="H41" s="49">
        <f>SUM(H42:H44)</f>
        <v>0</v>
      </c>
      <c r="I41" s="50">
        <f t="shared" si="2"/>
        <v>-11071.3</v>
      </c>
      <c r="J41" s="48">
        <f>SUM(J42:J44)</f>
        <v>-11071.3</v>
      </c>
      <c r="K41" s="49">
        <f>SUM(K42:K44)</f>
        <v>0</v>
      </c>
      <c r="L41" s="411">
        <f t="shared" si="3"/>
        <v>0</v>
      </c>
      <c r="M41" s="55">
        <f>SUM(M42:M44)</f>
        <v>0</v>
      </c>
      <c r="N41" s="571">
        <f>SUM(N42:N44)</f>
        <v>0</v>
      </c>
      <c r="O41" s="50">
        <f t="shared" si="4"/>
        <v>0</v>
      </c>
      <c r="P41" s="48">
        <f>SUM(P42:P44)</f>
        <v>0</v>
      </c>
      <c r="Q41" s="49">
        <f>SUM(Q42:Q44)</f>
        <v>0</v>
      </c>
      <c r="R41" s="50">
        <f t="shared" si="5"/>
        <v>837380</v>
      </c>
      <c r="S41" s="48">
        <f>SUM(S42:S44)</f>
        <v>837380</v>
      </c>
      <c r="T41" s="49">
        <f>SUM(T42:T44)</f>
        <v>0</v>
      </c>
      <c r="U41" s="50">
        <f t="shared" si="6"/>
        <v>-837380</v>
      </c>
      <c r="V41" s="48">
        <f>SUM(V42:V44)</f>
        <v>-837380</v>
      </c>
      <c r="W41" s="49">
        <f>SUM(W42:W44)</f>
        <v>0</v>
      </c>
      <c r="X41" s="54">
        <f t="shared" si="7"/>
        <v>0</v>
      </c>
      <c r="Y41" s="55">
        <f>SUM(Y42:Y44)</f>
        <v>0</v>
      </c>
      <c r="Z41" s="557">
        <f>SUM(Z42:Z44)</f>
        <v>0</v>
      </c>
      <c r="AA41" s="570">
        <f t="shared" si="8"/>
        <v>0</v>
      </c>
      <c r="AB41" s="48">
        <f>SUM(AB42:AB44)</f>
        <v>0</v>
      </c>
      <c r="AC41" s="49">
        <f>SUM(AC42:AC44)</f>
        <v>0</v>
      </c>
      <c r="AD41" s="50">
        <f t="shared" si="9"/>
        <v>4562744</v>
      </c>
      <c r="AE41" s="48">
        <f>SUM(AE42:AE44)</f>
        <v>4562744</v>
      </c>
      <c r="AF41" s="49">
        <f>SUM(AF42:AF44)</f>
        <v>0</v>
      </c>
      <c r="AG41" s="50">
        <f t="shared" si="10"/>
        <v>-4562744</v>
      </c>
      <c r="AH41" s="48">
        <f>SUM(AH42:AH44)</f>
        <v>-4562744</v>
      </c>
      <c r="AI41" s="49">
        <f>SUM(AI42:AI44)</f>
        <v>0</v>
      </c>
      <c r="AJ41" s="54">
        <f t="shared" si="11"/>
        <v>0</v>
      </c>
      <c r="AK41" s="55">
        <f>SUM(AK42:AK44)</f>
        <v>0</v>
      </c>
      <c r="AL41" s="571">
        <f>SUM(AL42:AL44)</f>
        <v>0</v>
      </c>
      <c r="AM41" s="50">
        <f t="shared" si="12"/>
        <v>0</v>
      </c>
      <c r="AN41" s="48">
        <f>SUM(AN42:AN44)</f>
        <v>0</v>
      </c>
      <c r="AO41" s="49">
        <f>SUM(AO42:AO44)</f>
        <v>0</v>
      </c>
      <c r="AP41" s="50">
        <f t="shared" si="13"/>
        <v>1299944</v>
      </c>
      <c r="AQ41" s="48">
        <f>SUM(AQ42:AQ44)</f>
        <v>1288207.31</v>
      </c>
      <c r="AR41" s="49">
        <f>SUM(AR42:AR44)</f>
        <v>11736.69</v>
      </c>
      <c r="AS41" s="50">
        <f t="shared" si="14"/>
        <v>-1299944</v>
      </c>
      <c r="AT41" s="48">
        <f>SUM(AT42:AT44)</f>
        <v>-1288207.31</v>
      </c>
      <c r="AU41" s="49">
        <f>SUM(AU42:AU44)</f>
        <v>-11736.69</v>
      </c>
      <c r="AV41" s="411">
        <f t="shared" si="15"/>
        <v>0</v>
      </c>
      <c r="AW41" s="55">
        <f>SUM(AW42:AW44)</f>
        <v>0</v>
      </c>
      <c r="AX41" s="557">
        <f>SUM(AX42:AX44)</f>
        <v>0</v>
      </c>
      <c r="AY41" s="570">
        <f t="shared" si="66"/>
        <v>0</v>
      </c>
      <c r="AZ41" s="48">
        <f>SUM(AZ42:AZ44)</f>
        <v>0</v>
      </c>
      <c r="BA41" s="49">
        <f>SUM(BA42:BA44)</f>
        <v>0</v>
      </c>
      <c r="BB41" s="50">
        <f t="shared" si="17"/>
        <v>0</v>
      </c>
      <c r="BC41" s="48">
        <f>SUM(BC42:BC44)</f>
        <v>0</v>
      </c>
      <c r="BD41" s="49">
        <f>SUM(BD42:BD44)</f>
        <v>0</v>
      </c>
      <c r="BE41" s="50">
        <f t="shared" si="18"/>
        <v>0</v>
      </c>
      <c r="BF41" s="48">
        <f>SUM(BF42:BF44)</f>
        <v>0</v>
      </c>
      <c r="BG41" s="49">
        <f>SUM(BG42:BG44)</f>
        <v>0</v>
      </c>
      <c r="BH41" s="54">
        <f t="shared" si="19"/>
        <v>0</v>
      </c>
      <c r="BI41" s="55">
        <f>SUM(BI42:BI44)</f>
        <v>0</v>
      </c>
      <c r="BJ41" s="571">
        <f>SUM(BJ42:BJ44)</f>
        <v>0</v>
      </c>
      <c r="BK41" s="570">
        <f t="shared" si="71"/>
        <v>0</v>
      </c>
      <c r="BL41" s="48">
        <f>SUM(BL42:BL44)</f>
        <v>0</v>
      </c>
      <c r="BM41" s="49">
        <f>SUM(BM42:BM44)</f>
        <v>0</v>
      </c>
      <c r="BN41" s="50">
        <f t="shared" si="21"/>
        <v>0</v>
      </c>
      <c r="BO41" s="48">
        <f>SUM(BO42:BO44)</f>
        <v>0</v>
      </c>
      <c r="BP41" s="49">
        <f>SUM(BP42:BP44)</f>
        <v>0</v>
      </c>
      <c r="BQ41" s="50">
        <f t="shared" si="22"/>
        <v>0</v>
      </c>
      <c r="BR41" s="48">
        <f>SUM(BR42:BR44)</f>
        <v>0</v>
      </c>
      <c r="BS41" s="49">
        <f>SUM(BS42:BS44)</f>
        <v>0</v>
      </c>
      <c r="BT41" s="54">
        <f t="shared" si="23"/>
        <v>0</v>
      </c>
      <c r="BU41" s="55">
        <f>SUM(BU42:BU44)</f>
        <v>0</v>
      </c>
      <c r="BV41" s="571">
        <f>SUM(BV42:BV44)</f>
        <v>0</v>
      </c>
      <c r="BW41" s="570">
        <f t="shared" si="131"/>
        <v>0</v>
      </c>
      <c r="BX41" s="48">
        <f>SUM(BX42:BX44)</f>
        <v>0</v>
      </c>
      <c r="BY41" s="49">
        <f>SUM(BY42:BY44)</f>
        <v>0</v>
      </c>
      <c r="BZ41" s="50">
        <f t="shared" si="132"/>
        <v>0</v>
      </c>
      <c r="CA41" s="48">
        <f>SUM(CA42:CA44)</f>
        <v>0</v>
      </c>
      <c r="CB41" s="49">
        <f>SUM(CB42:CB44)</f>
        <v>0</v>
      </c>
      <c r="CC41" s="50">
        <f t="shared" si="133"/>
        <v>0</v>
      </c>
      <c r="CD41" s="48">
        <f>SUM(CD42:CD44)</f>
        <v>0</v>
      </c>
      <c r="CE41" s="49">
        <f>SUM(CE42:CE44)</f>
        <v>0</v>
      </c>
      <c r="CF41" s="54">
        <f t="shared" si="134"/>
        <v>0</v>
      </c>
      <c r="CG41" s="55">
        <f>SUM(CG42:CG44)</f>
        <v>0</v>
      </c>
      <c r="CH41" s="571">
        <f>SUM(CH42:CH44)</f>
        <v>0</v>
      </c>
    </row>
    <row r="42" spans="1:86" s="68" customFormat="1">
      <c r="A42" s="116" t="s">
        <v>296</v>
      </c>
      <c r="B42" s="85" t="s">
        <v>218</v>
      </c>
      <c r="C42" s="582">
        <f t="shared" si="0"/>
        <v>0</v>
      </c>
      <c r="D42" s="132"/>
      <c r="E42" s="133"/>
      <c r="F42" s="86">
        <f t="shared" si="1"/>
        <v>0</v>
      </c>
      <c r="G42" s="132"/>
      <c r="H42" s="133"/>
      <c r="I42" s="86">
        <f t="shared" si="2"/>
        <v>0</v>
      </c>
      <c r="J42" s="132"/>
      <c r="K42" s="133"/>
      <c r="L42" s="418">
        <f t="shared" si="3"/>
        <v>0</v>
      </c>
      <c r="M42" s="88">
        <f>D42+G42+J42</f>
        <v>0</v>
      </c>
      <c r="N42" s="583">
        <f t="shared" ref="N42:N44" si="226">E42+H42+K42</f>
        <v>0</v>
      </c>
      <c r="O42" s="86">
        <f t="shared" si="4"/>
        <v>0</v>
      </c>
      <c r="P42" s="132"/>
      <c r="Q42" s="133"/>
      <c r="R42" s="86">
        <f t="shared" si="5"/>
        <v>0</v>
      </c>
      <c r="S42" s="132"/>
      <c r="T42" s="133"/>
      <c r="U42" s="86">
        <f t="shared" si="6"/>
        <v>0</v>
      </c>
      <c r="V42" s="132"/>
      <c r="W42" s="133"/>
      <c r="X42" s="87">
        <f t="shared" si="7"/>
        <v>0</v>
      </c>
      <c r="Y42" s="88">
        <f>P42+S42+V42</f>
        <v>0</v>
      </c>
      <c r="Z42" s="562">
        <f t="shared" ref="Z42:Z44" si="227">Q42+T42+W42</f>
        <v>0</v>
      </c>
      <c r="AA42" s="582">
        <f t="shared" si="8"/>
        <v>0</v>
      </c>
      <c r="AB42" s="132"/>
      <c r="AC42" s="133"/>
      <c r="AD42" s="86">
        <f t="shared" si="9"/>
        <v>0</v>
      </c>
      <c r="AE42" s="132"/>
      <c r="AF42" s="133"/>
      <c r="AG42" s="86">
        <f t="shared" si="10"/>
        <v>0</v>
      </c>
      <c r="AH42" s="132"/>
      <c r="AI42" s="133"/>
      <c r="AJ42" s="87">
        <f t="shared" si="11"/>
        <v>0</v>
      </c>
      <c r="AK42" s="88">
        <f>AB42+AE42+AH42</f>
        <v>0</v>
      </c>
      <c r="AL42" s="583">
        <f t="shared" ref="AL42:AL44" si="228">AC42+AF42+AI42</f>
        <v>0</v>
      </c>
      <c r="AM42" s="86">
        <f t="shared" si="12"/>
        <v>0</v>
      </c>
      <c r="AN42" s="132"/>
      <c r="AO42" s="133"/>
      <c r="AP42" s="86">
        <f t="shared" si="13"/>
        <v>0</v>
      </c>
      <c r="AQ42" s="132"/>
      <c r="AR42" s="133"/>
      <c r="AS42" s="86">
        <f t="shared" si="14"/>
        <v>0</v>
      </c>
      <c r="AT42" s="132"/>
      <c r="AU42" s="133"/>
      <c r="AV42" s="418">
        <f t="shared" si="15"/>
        <v>0</v>
      </c>
      <c r="AW42" s="88">
        <f>AN42+AQ42+AT42</f>
        <v>0</v>
      </c>
      <c r="AX42" s="562">
        <f t="shared" ref="AX42:AX44" si="229">AO42+AR42+AU42</f>
        <v>0</v>
      </c>
      <c r="AY42" s="582">
        <f t="shared" si="66"/>
        <v>0</v>
      </c>
      <c r="AZ42" s="132"/>
      <c r="BA42" s="133"/>
      <c r="BB42" s="86">
        <f t="shared" si="17"/>
        <v>0</v>
      </c>
      <c r="BC42" s="132"/>
      <c r="BD42" s="133"/>
      <c r="BE42" s="86">
        <f t="shared" si="18"/>
        <v>0</v>
      </c>
      <c r="BF42" s="132"/>
      <c r="BG42" s="133"/>
      <c r="BH42" s="87">
        <f t="shared" si="19"/>
        <v>0</v>
      </c>
      <c r="BI42" s="88">
        <f>AZ42+BC42+BF42</f>
        <v>0</v>
      </c>
      <c r="BJ42" s="583">
        <f t="shared" ref="BJ42:BJ44" si="230">BA42+BD42+BG42</f>
        <v>0</v>
      </c>
      <c r="BK42" s="582">
        <f t="shared" si="71"/>
        <v>0</v>
      </c>
      <c r="BL42" s="132"/>
      <c r="BM42" s="133"/>
      <c r="BN42" s="86">
        <f t="shared" si="21"/>
        <v>0</v>
      </c>
      <c r="BO42" s="132"/>
      <c r="BP42" s="133"/>
      <c r="BQ42" s="86">
        <f t="shared" si="22"/>
        <v>0</v>
      </c>
      <c r="BR42" s="132"/>
      <c r="BS42" s="133"/>
      <c r="BT42" s="87">
        <f t="shared" si="23"/>
        <v>0</v>
      </c>
      <c r="BU42" s="88">
        <f>BL42+BO42+BR42</f>
        <v>0</v>
      </c>
      <c r="BV42" s="583">
        <f t="shared" ref="BV42:BV44" si="231">BM42+BP42+BS42</f>
        <v>0</v>
      </c>
      <c r="BW42" s="582">
        <f t="shared" si="131"/>
        <v>0</v>
      </c>
      <c r="BX42" s="132"/>
      <c r="BY42" s="133"/>
      <c r="BZ42" s="86">
        <f t="shared" si="132"/>
        <v>0</v>
      </c>
      <c r="CA42" s="132"/>
      <c r="CB42" s="133"/>
      <c r="CC42" s="86">
        <f t="shared" si="133"/>
        <v>0</v>
      </c>
      <c r="CD42" s="132"/>
      <c r="CE42" s="133"/>
      <c r="CF42" s="87">
        <f t="shared" si="134"/>
        <v>0</v>
      </c>
      <c r="CG42" s="88">
        <f>BX42+CA42+CD42</f>
        <v>0</v>
      </c>
      <c r="CH42" s="583">
        <f t="shared" ref="CH42:CH44" si="232">BY42+CB42+CE42</f>
        <v>0</v>
      </c>
    </row>
    <row r="43" spans="1:86" s="68" customFormat="1">
      <c r="A43" s="116" t="s">
        <v>297</v>
      </c>
      <c r="B43" s="89" t="s">
        <v>216</v>
      </c>
      <c r="C43" s="582">
        <f t="shared" si="0"/>
        <v>0</v>
      </c>
      <c r="D43" s="132"/>
      <c r="E43" s="133"/>
      <c r="F43" s="86">
        <f t="shared" si="1"/>
        <v>0</v>
      </c>
      <c r="G43" s="132"/>
      <c r="H43" s="133"/>
      <c r="I43" s="86">
        <f t="shared" si="2"/>
        <v>0</v>
      </c>
      <c r="J43" s="132"/>
      <c r="K43" s="133"/>
      <c r="L43" s="418">
        <f t="shared" si="3"/>
        <v>0</v>
      </c>
      <c r="M43" s="88">
        <f t="shared" ref="M43:M44" si="233">D43+G43+J43</f>
        <v>0</v>
      </c>
      <c r="N43" s="583">
        <f t="shared" si="226"/>
        <v>0</v>
      </c>
      <c r="O43" s="86">
        <f t="shared" si="4"/>
        <v>0</v>
      </c>
      <c r="P43" s="132"/>
      <c r="Q43" s="133"/>
      <c r="R43" s="86">
        <f t="shared" si="5"/>
        <v>381128</v>
      </c>
      <c r="S43" s="132">
        <v>381128</v>
      </c>
      <c r="T43" s="133"/>
      <c r="U43" s="86">
        <f t="shared" si="6"/>
        <v>-381128</v>
      </c>
      <c r="V43" s="132">
        <v>-381128</v>
      </c>
      <c r="W43" s="133"/>
      <c r="X43" s="87">
        <f t="shared" si="7"/>
        <v>0</v>
      </c>
      <c r="Y43" s="88">
        <f t="shared" ref="Y43:Y44" si="234">P43+S43+V43</f>
        <v>0</v>
      </c>
      <c r="Z43" s="562">
        <f t="shared" si="227"/>
        <v>0</v>
      </c>
      <c r="AA43" s="582">
        <f t="shared" si="8"/>
        <v>0</v>
      </c>
      <c r="AB43" s="132"/>
      <c r="AC43" s="133"/>
      <c r="AD43" s="86">
        <f t="shared" si="9"/>
        <v>2980275</v>
      </c>
      <c r="AE43" s="132">
        <v>2980275</v>
      </c>
      <c r="AF43" s="133"/>
      <c r="AG43" s="86">
        <f t="shared" si="10"/>
        <v>-2980275</v>
      </c>
      <c r="AH43" s="132">
        <v>-2980275</v>
      </c>
      <c r="AI43" s="133"/>
      <c r="AJ43" s="87">
        <f t="shared" si="11"/>
        <v>0</v>
      </c>
      <c r="AK43" s="88">
        <f t="shared" ref="AK43:AK44" si="235">AB43+AE43+AH43</f>
        <v>0</v>
      </c>
      <c r="AL43" s="583">
        <f t="shared" si="228"/>
        <v>0</v>
      </c>
      <c r="AM43" s="86">
        <f t="shared" si="12"/>
        <v>0</v>
      </c>
      <c r="AN43" s="132"/>
      <c r="AO43" s="133"/>
      <c r="AP43" s="86">
        <f t="shared" si="13"/>
        <v>351790</v>
      </c>
      <c r="AQ43" s="132">
        <f>351790-AR43</f>
        <v>342881.81</v>
      </c>
      <c r="AR43" s="133">
        <f>-AU43</f>
        <v>8908.19</v>
      </c>
      <c r="AS43" s="86">
        <f t="shared" si="14"/>
        <v>-351790</v>
      </c>
      <c r="AT43" s="132">
        <f>-351790-AU43</f>
        <v>-342881.81</v>
      </c>
      <c r="AU43" s="133">
        <f>-AU15</f>
        <v>-8908.19</v>
      </c>
      <c r="AV43" s="418">
        <f t="shared" si="15"/>
        <v>0</v>
      </c>
      <c r="AW43" s="88">
        <f t="shared" ref="AW43:AW44" si="236">AN43+AQ43+AT43</f>
        <v>0</v>
      </c>
      <c r="AX43" s="562">
        <f t="shared" si="229"/>
        <v>0</v>
      </c>
      <c r="AY43" s="582">
        <f t="shared" si="66"/>
        <v>0</v>
      </c>
      <c r="AZ43" s="132"/>
      <c r="BA43" s="133"/>
      <c r="BB43" s="86">
        <f t="shared" si="17"/>
        <v>0</v>
      </c>
      <c r="BC43" s="132"/>
      <c r="BD43" s="133"/>
      <c r="BE43" s="86">
        <f t="shared" si="18"/>
        <v>0</v>
      </c>
      <c r="BF43" s="132"/>
      <c r="BG43" s="133"/>
      <c r="BH43" s="87">
        <f t="shared" si="19"/>
        <v>0</v>
      </c>
      <c r="BI43" s="88">
        <f t="shared" ref="BI43:BI44" si="237">AZ43+BC43+BF43</f>
        <v>0</v>
      </c>
      <c r="BJ43" s="583">
        <f t="shared" si="230"/>
        <v>0</v>
      </c>
      <c r="BK43" s="582">
        <f t="shared" si="71"/>
        <v>0</v>
      </c>
      <c r="BL43" s="132"/>
      <c r="BM43" s="133"/>
      <c r="BN43" s="86">
        <f t="shared" si="21"/>
        <v>0</v>
      </c>
      <c r="BO43" s="132"/>
      <c r="BP43" s="133"/>
      <c r="BQ43" s="86">
        <f t="shared" si="22"/>
        <v>0</v>
      </c>
      <c r="BR43" s="132"/>
      <c r="BS43" s="133"/>
      <c r="BT43" s="87">
        <f t="shared" si="23"/>
        <v>0</v>
      </c>
      <c r="BU43" s="88">
        <f t="shared" ref="BU43:BU44" si="238">BL43+BO43+BR43</f>
        <v>0</v>
      </c>
      <c r="BV43" s="583">
        <f t="shared" si="231"/>
        <v>0</v>
      </c>
      <c r="BW43" s="582">
        <f t="shared" si="131"/>
        <v>0</v>
      </c>
      <c r="BX43" s="132"/>
      <c r="BY43" s="133"/>
      <c r="BZ43" s="86">
        <f t="shared" si="132"/>
        <v>0</v>
      </c>
      <c r="CA43" s="132"/>
      <c r="CB43" s="133"/>
      <c r="CC43" s="86">
        <f t="shared" si="133"/>
        <v>0</v>
      </c>
      <c r="CD43" s="132"/>
      <c r="CE43" s="133"/>
      <c r="CF43" s="87">
        <f t="shared" si="134"/>
        <v>0</v>
      </c>
      <c r="CG43" s="88">
        <f t="shared" ref="CG43:CG44" si="239">BX43+CA43+CD43</f>
        <v>0</v>
      </c>
      <c r="CH43" s="583">
        <f t="shared" si="232"/>
        <v>0</v>
      </c>
    </row>
    <row r="44" spans="1:86" s="68" customFormat="1">
      <c r="A44" s="116" t="s">
        <v>298</v>
      </c>
      <c r="B44" s="90" t="s">
        <v>217</v>
      </c>
      <c r="C44" s="582">
        <f t="shared" si="0"/>
        <v>0</v>
      </c>
      <c r="D44" s="132"/>
      <c r="E44" s="133"/>
      <c r="F44" s="86">
        <f t="shared" si="1"/>
        <v>11071.3</v>
      </c>
      <c r="G44" s="132">
        <v>11071.3</v>
      </c>
      <c r="H44" s="133"/>
      <c r="I44" s="86">
        <f t="shared" si="2"/>
        <v>-11071.3</v>
      </c>
      <c r="J44" s="132">
        <v>-11071.3</v>
      </c>
      <c r="K44" s="133"/>
      <c r="L44" s="418">
        <f t="shared" si="3"/>
        <v>0</v>
      </c>
      <c r="M44" s="88">
        <f t="shared" si="233"/>
        <v>0</v>
      </c>
      <c r="N44" s="583">
        <f t="shared" si="226"/>
        <v>0</v>
      </c>
      <c r="O44" s="86">
        <f t="shared" si="4"/>
        <v>0</v>
      </c>
      <c r="P44" s="132"/>
      <c r="Q44" s="133"/>
      <c r="R44" s="86">
        <f t="shared" si="5"/>
        <v>456252</v>
      </c>
      <c r="S44" s="132">
        <v>456252</v>
      </c>
      <c r="T44" s="133"/>
      <c r="U44" s="86">
        <f t="shared" si="6"/>
        <v>-456252</v>
      </c>
      <c r="V44" s="132">
        <v>-456252</v>
      </c>
      <c r="W44" s="133"/>
      <c r="X44" s="87">
        <f t="shared" si="7"/>
        <v>0</v>
      </c>
      <c r="Y44" s="88">
        <f t="shared" si="234"/>
        <v>0</v>
      </c>
      <c r="Z44" s="562">
        <f t="shared" si="227"/>
        <v>0</v>
      </c>
      <c r="AA44" s="582">
        <f t="shared" si="8"/>
        <v>0</v>
      </c>
      <c r="AB44" s="132"/>
      <c r="AC44" s="133"/>
      <c r="AD44" s="86">
        <f t="shared" si="9"/>
        <v>1582469</v>
      </c>
      <c r="AE44" s="132">
        <v>1582469</v>
      </c>
      <c r="AF44" s="133"/>
      <c r="AG44" s="86">
        <f t="shared" si="10"/>
        <v>-1582469</v>
      </c>
      <c r="AH44" s="132">
        <v>-1582469</v>
      </c>
      <c r="AI44" s="133"/>
      <c r="AJ44" s="87">
        <f t="shared" si="11"/>
        <v>0</v>
      </c>
      <c r="AK44" s="88">
        <f t="shared" si="235"/>
        <v>0</v>
      </c>
      <c r="AL44" s="583">
        <f t="shared" si="228"/>
        <v>0</v>
      </c>
      <c r="AM44" s="86">
        <f t="shared" si="12"/>
        <v>0</v>
      </c>
      <c r="AN44" s="132"/>
      <c r="AO44" s="133"/>
      <c r="AP44" s="86">
        <f t="shared" si="13"/>
        <v>948154</v>
      </c>
      <c r="AQ44" s="132">
        <f>948154-AR44</f>
        <v>945325.5</v>
      </c>
      <c r="AR44" s="133">
        <f>-AU44</f>
        <v>2828.5</v>
      </c>
      <c r="AS44" s="86">
        <f t="shared" si="14"/>
        <v>-948154</v>
      </c>
      <c r="AT44" s="132">
        <f>-948154-AU44</f>
        <v>-945325.5</v>
      </c>
      <c r="AU44" s="133">
        <f>-AU16</f>
        <v>-2828.5</v>
      </c>
      <c r="AV44" s="418">
        <f t="shared" si="15"/>
        <v>0</v>
      </c>
      <c r="AW44" s="88">
        <f t="shared" si="236"/>
        <v>0</v>
      </c>
      <c r="AX44" s="562">
        <f t="shared" si="229"/>
        <v>0</v>
      </c>
      <c r="AY44" s="582">
        <f t="shared" si="66"/>
        <v>0</v>
      </c>
      <c r="AZ44" s="132"/>
      <c r="BA44" s="133"/>
      <c r="BB44" s="86">
        <f t="shared" si="17"/>
        <v>0</v>
      </c>
      <c r="BC44" s="132"/>
      <c r="BD44" s="133"/>
      <c r="BE44" s="86">
        <f t="shared" si="18"/>
        <v>0</v>
      </c>
      <c r="BF44" s="132"/>
      <c r="BG44" s="133"/>
      <c r="BH44" s="87">
        <f t="shared" si="19"/>
        <v>0</v>
      </c>
      <c r="BI44" s="88">
        <f t="shared" si="237"/>
        <v>0</v>
      </c>
      <c r="BJ44" s="583">
        <f t="shared" si="230"/>
        <v>0</v>
      </c>
      <c r="BK44" s="582">
        <f t="shared" si="71"/>
        <v>0</v>
      </c>
      <c r="BL44" s="132"/>
      <c r="BM44" s="133"/>
      <c r="BN44" s="86">
        <f t="shared" si="21"/>
        <v>0</v>
      </c>
      <c r="BO44" s="132"/>
      <c r="BP44" s="133"/>
      <c r="BQ44" s="86">
        <f t="shared" si="22"/>
        <v>0</v>
      </c>
      <c r="BR44" s="132"/>
      <c r="BS44" s="133"/>
      <c r="BT44" s="87">
        <f t="shared" si="23"/>
        <v>0</v>
      </c>
      <c r="BU44" s="88">
        <f t="shared" si="238"/>
        <v>0</v>
      </c>
      <c r="BV44" s="583">
        <f t="shared" si="231"/>
        <v>0</v>
      </c>
      <c r="BW44" s="582">
        <f t="shared" si="131"/>
        <v>0</v>
      </c>
      <c r="BX44" s="132"/>
      <c r="BY44" s="133"/>
      <c r="BZ44" s="86">
        <f t="shared" si="132"/>
        <v>0</v>
      </c>
      <c r="CA44" s="132"/>
      <c r="CB44" s="133"/>
      <c r="CC44" s="86">
        <f t="shared" si="133"/>
        <v>0</v>
      </c>
      <c r="CD44" s="132"/>
      <c r="CE44" s="133"/>
      <c r="CF44" s="87">
        <f t="shared" si="134"/>
        <v>0</v>
      </c>
      <c r="CG44" s="88">
        <f t="shared" si="239"/>
        <v>0</v>
      </c>
      <c r="CH44" s="583">
        <f t="shared" si="232"/>
        <v>0</v>
      </c>
    </row>
    <row r="45" spans="1:86" s="101" customFormat="1">
      <c r="A45" s="117">
        <f>A41+1</f>
        <v>11</v>
      </c>
      <c r="B45" s="91" t="s">
        <v>253</v>
      </c>
      <c r="C45" s="584">
        <f t="shared" si="0"/>
        <v>590</v>
      </c>
      <c r="D45" s="125">
        <f>SUM(D46:D48)</f>
        <v>590</v>
      </c>
      <c r="E45" s="126">
        <f>SUM(E46:E48)</f>
        <v>0</v>
      </c>
      <c r="F45" s="127">
        <f t="shared" si="1"/>
        <v>0</v>
      </c>
      <c r="G45" s="125">
        <f>SUM(G46:G48)</f>
        <v>0</v>
      </c>
      <c r="H45" s="126">
        <f>SUM(H46:H48)</f>
        <v>0</v>
      </c>
      <c r="I45" s="127">
        <f t="shared" si="2"/>
        <v>0</v>
      </c>
      <c r="J45" s="125">
        <f>SUM(J46:J48)</f>
        <v>0</v>
      </c>
      <c r="K45" s="126">
        <f>SUM(K46:K48)</f>
        <v>0</v>
      </c>
      <c r="L45" s="419">
        <f t="shared" si="3"/>
        <v>590</v>
      </c>
      <c r="M45" s="93">
        <f>SUM(M46:M48)</f>
        <v>590</v>
      </c>
      <c r="N45" s="585">
        <f>SUM(N46:N48)</f>
        <v>0</v>
      </c>
      <c r="O45" s="127">
        <f t="shared" si="4"/>
        <v>10070</v>
      </c>
      <c r="P45" s="125">
        <f>SUM(P46:P48)</f>
        <v>10070</v>
      </c>
      <c r="Q45" s="126">
        <f>SUM(Q46:Q48)</f>
        <v>0</v>
      </c>
      <c r="R45" s="127">
        <f t="shared" si="5"/>
        <v>0</v>
      </c>
      <c r="S45" s="125">
        <f>SUM(S46:S48)</f>
        <v>0</v>
      </c>
      <c r="T45" s="126">
        <f>SUM(T46:T48)</f>
        <v>0</v>
      </c>
      <c r="U45" s="127">
        <f t="shared" si="6"/>
        <v>0</v>
      </c>
      <c r="V45" s="125">
        <f>SUM(V46:V48)</f>
        <v>0</v>
      </c>
      <c r="W45" s="126">
        <f>SUM(W46:W48)</f>
        <v>0</v>
      </c>
      <c r="X45" s="92">
        <f t="shared" si="7"/>
        <v>10070</v>
      </c>
      <c r="Y45" s="93">
        <f>SUM(Y46:Y48)</f>
        <v>10070</v>
      </c>
      <c r="Z45" s="563">
        <f>SUM(Z46:Z48)</f>
        <v>0</v>
      </c>
      <c r="AA45" s="584">
        <f t="shared" si="8"/>
        <v>170</v>
      </c>
      <c r="AB45" s="125">
        <f>SUM(AB46:AB48)</f>
        <v>170</v>
      </c>
      <c r="AC45" s="126">
        <f>SUM(AC46:AC48)</f>
        <v>0</v>
      </c>
      <c r="AD45" s="127">
        <f t="shared" si="9"/>
        <v>211825</v>
      </c>
      <c r="AE45" s="125">
        <f>SUM(AE46:AE48)</f>
        <v>211825</v>
      </c>
      <c r="AF45" s="126">
        <f>SUM(AF46:AF48)</f>
        <v>0</v>
      </c>
      <c r="AG45" s="127">
        <f t="shared" si="10"/>
        <v>-14178</v>
      </c>
      <c r="AH45" s="125">
        <f>SUM(AH46:AH48)</f>
        <v>-14178</v>
      </c>
      <c r="AI45" s="126">
        <f>SUM(AI46:AI48)</f>
        <v>0</v>
      </c>
      <c r="AJ45" s="92">
        <f t="shared" si="11"/>
        <v>197817</v>
      </c>
      <c r="AK45" s="93">
        <f>SUM(AK46:AK48)</f>
        <v>197817</v>
      </c>
      <c r="AL45" s="585">
        <f>SUM(AL46:AL48)</f>
        <v>0</v>
      </c>
      <c r="AM45" s="127">
        <f t="shared" si="12"/>
        <v>0</v>
      </c>
      <c r="AN45" s="125">
        <f>SUM(AN46:AN48)</f>
        <v>0</v>
      </c>
      <c r="AO45" s="126">
        <f>SUM(AO46:AO48)</f>
        <v>0</v>
      </c>
      <c r="AP45" s="127">
        <f t="shared" si="13"/>
        <v>0</v>
      </c>
      <c r="AQ45" s="125">
        <f>SUM(AQ46:AQ48)</f>
        <v>0</v>
      </c>
      <c r="AR45" s="126">
        <f>SUM(AR46:AR48)</f>
        <v>0</v>
      </c>
      <c r="AS45" s="127">
        <f t="shared" si="14"/>
        <v>41667</v>
      </c>
      <c r="AT45" s="125">
        <f>SUM(AT46:AT48)</f>
        <v>41667</v>
      </c>
      <c r="AU45" s="126">
        <f>SUM(AU46:AU48)</f>
        <v>0</v>
      </c>
      <c r="AV45" s="419">
        <f t="shared" si="15"/>
        <v>41667</v>
      </c>
      <c r="AW45" s="93">
        <f>SUM(AW46:AW48)</f>
        <v>41667</v>
      </c>
      <c r="AX45" s="563">
        <f>SUM(AX46:AX48)</f>
        <v>0</v>
      </c>
      <c r="AY45" s="584">
        <f t="shared" si="66"/>
        <v>0</v>
      </c>
      <c r="AZ45" s="125">
        <f>SUM(AZ46:AZ48)</f>
        <v>0</v>
      </c>
      <c r="BA45" s="126">
        <f>SUM(BA46:BA48)</f>
        <v>0</v>
      </c>
      <c r="BB45" s="127">
        <f t="shared" si="17"/>
        <v>-14159</v>
      </c>
      <c r="BC45" s="125">
        <f>SUM(BC46:BC48)</f>
        <v>-14159</v>
      </c>
      <c r="BD45" s="126">
        <f>SUM(BD46:BD48)</f>
        <v>0</v>
      </c>
      <c r="BE45" s="127">
        <f t="shared" si="18"/>
        <v>0</v>
      </c>
      <c r="BF45" s="125">
        <f>SUM(BF46:BF48)</f>
        <v>0</v>
      </c>
      <c r="BG45" s="126">
        <f>SUM(BG46:BG48)</f>
        <v>0</v>
      </c>
      <c r="BH45" s="92">
        <f t="shared" si="19"/>
        <v>-14159</v>
      </c>
      <c r="BI45" s="93">
        <f>SUM(BI46:BI48)</f>
        <v>-14159</v>
      </c>
      <c r="BJ45" s="585">
        <f>SUM(BJ46:BJ48)</f>
        <v>0</v>
      </c>
      <c r="BK45" s="584">
        <f t="shared" si="71"/>
        <v>0</v>
      </c>
      <c r="BL45" s="125">
        <f>SUM(BL46:BL48)</f>
        <v>0</v>
      </c>
      <c r="BM45" s="126">
        <f>SUM(BM46:BM48)</f>
        <v>0</v>
      </c>
      <c r="BN45" s="127">
        <f t="shared" si="21"/>
        <v>0</v>
      </c>
      <c r="BO45" s="125">
        <f>SUM(BO46:BO48)</f>
        <v>0</v>
      </c>
      <c r="BP45" s="126">
        <f>SUM(BP46:BP48)</f>
        <v>0</v>
      </c>
      <c r="BQ45" s="127">
        <f t="shared" si="22"/>
        <v>0</v>
      </c>
      <c r="BR45" s="125">
        <f>SUM(BR46:BR48)</f>
        <v>0</v>
      </c>
      <c r="BS45" s="126">
        <f>SUM(BS46:BS48)</f>
        <v>0</v>
      </c>
      <c r="BT45" s="92">
        <f t="shared" si="23"/>
        <v>0</v>
      </c>
      <c r="BU45" s="93">
        <f>SUM(BU46:BU48)</f>
        <v>0</v>
      </c>
      <c r="BV45" s="585">
        <f>SUM(BV46:BV48)</f>
        <v>0</v>
      </c>
      <c r="BW45" s="584">
        <f t="shared" si="131"/>
        <v>0</v>
      </c>
      <c r="BX45" s="125">
        <f>SUM(BX46:BX48)</f>
        <v>0</v>
      </c>
      <c r="BY45" s="126">
        <f>SUM(BY46:BY48)</f>
        <v>0</v>
      </c>
      <c r="BZ45" s="127">
        <f t="shared" si="132"/>
        <v>0</v>
      </c>
      <c r="CA45" s="125">
        <f>SUM(CA46:CA48)</f>
        <v>0</v>
      </c>
      <c r="CB45" s="126">
        <f>SUM(CB46:CB48)</f>
        <v>0</v>
      </c>
      <c r="CC45" s="127">
        <f t="shared" si="133"/>
        <v>0</v>
      </c>
      <c r="CD45" s="125">
        <f>SUM(CD46:CD48)</f>
        <v>0</v>
      </c>
      <c r="CE45" s="126">
        <f>SUM(CE46:CE48)</f>
        <v>0</v>
      </c>
      <c r="CF45" s="92">
        <f t="shared" si="134"/>
        <v>0</v>
      </c>
      <c r="CG45" s="93">
        <f>SUM(CG46:CG48)</f>
        <v>0</v>
      </c>
      <c r="CH45" s="585">
        <f>SUM(CH46:CH48)</f>
        <v>0</v>
      </c>
    </row>
    <row r="46" spans="1:86" s="68" customFormat="1">
      <c r="A46" s="115" t="s">
        <v>299</v>
      </c>
      <c r="B46" s="79" t="s">
        <v>218</v>
      </c>
      <c r="C46" s="580">
        <f t="shared" si="0"/>
        <v>0</v>
      </c>
      <c r="D46" s="132"/>
      <c r="E46" s="133"/>
      <c r="F46" s="80">
        <f t="shared" si="1"/>
        <v>0</v>
      </c>
      <c r="G46" s="132"/>
      <c r="H46" s="133"/>
      <c r="I46" s="80">
        <f t="shared" si="2"/>
        <v>0</v>
      </c>
      <c r="J46" s="132"/>
      <c r="K46" s="133"/>
      <c r="L46" s="417">
        <f t="shared" si="3"/>
        <v>0</v>
      </c>
      <c r="M46" s="82">
        <f>D46+G46+J46</f>
        <v>0</v>
      </c>
      <c r="N46" s="581">
        <f t="shared" ref="N46:N48" si="240">E46+H46+K46</f>
        <v>0</v>
      </c>
      <c r="O46" s="80">
        <f t="shared" si="4"/>
        <v>0</v>
      </c>
      <c r="P46" s="132"/>
      <c r="Q46" s="133"/>
      <c r="R46" s="80">
        <f t="shared" si="5"/>
        <v>0</v>
      </c>
      <c r="S46" s="132"/>
      <c r="T46" s="133"/>
      <c r="U46" s="80">
        <f t="shared" si="6"/>
        <v>0</v>
      </c>
      <c r="V46" s="132"/>
      <c r="W46" s="133"/>
      <c r="X46" s="81">
        <f t="shared" si="7"/>
        <v>0</v>
      </c>
      <c r="Y46" s="82">
        <f>P46+S46+V46</f>
        <v>0</v>
      </c>
      <c r="Z46" s="564">
        <f t="shared" ref="Z46:Z48" si="241">Q46+T46+W46</f>
        <v>0</v>
      </c>
      <c r="AA46" s="580">
        <f t="shared" si="8"/>
        <v>0</v>
      </c>
      <c r="AB46" s="132"/>
      <c r="AC46" s="133"/>
      <c r="AD46" s="80">
        <f t="shared" si="9"/>
        <v>0</v>
      </c>
      <c r="AE46" s="132"/>
      <c r="AF46" s="133"/>
      <c r="AG46" s="80">
        <f t="shared" si="10"/>
        <v>0</v>
      </c>
      <c r="AH46" s="132"/>
      <c r="AI46" s="133"/>
      <c r="AJ46" s="81">
        <f t="shared" si="11"/>
        <v>0</v>
      </c>
      <c r="AK46" s="82">
        <f>AB46+AE46+AH46</f>
        <v>0</v>
      </c>
      <c r="AL46" s="581">
        <f t="shared" ref="AL46:AL48" si="242">AC46+AF46+AI46</f>
        <v>0</v>
      </c>
      <c r="AM46" s="80">
        <f t="shared" si="12"/>
        <v>0</v>
      </c>
      <c r="AN46" s="132"/>
      <c r="AO46" s="133"/>
      <c r="AP46" s="80">
        <f t="shared" si="13"/>
        <v>0</v>
      </c>
      <c r="AQ46" s="132"/>
      <c r="AR46" s="133"/>
      <c r="AS46" s="80">
        <f t="shared" si="14"/>
        <v>0</v>
      </c>
      <c r="AT46" s="132"/>
      <c r="AU46" s="133"/>
      <c r="AV46" s="417">
        <f t="shared" si="15"/>
        <v>0</v>
      </c>
      <c r="AW46" s="82">
        <f>AN46+AQ46+AT46</f>
        <v>0</v>
      </c>
      <c r="AX46" s="564">
        <f t="shared" ref="AX46:AX48" si="243">AO46+AR46+AU46</f>
        <v>0</v>
      </c>
      <c r="AY46" s="580">
        <f t="shared" si="66"/>
        <v>0</v>
      </c>
      <c r="AZ46" s="132"/>
      <c r="BA46" s="133"/>
      <c r="BB46" s="80">
        <f t="shared" si="17"/>
        <v>0</v>
      </c>
      <c r="BC46" s="132"/>
      <c r="BD46" s="133"/>
      <c r="BE46" s="80">
        <f t="shared" si="18"/>
        <v>0</v>
      </c>
      <c r="BF46" s="132"/>
      <c r="BG46" s="133"/>
      <c r="BH46" s="81">
        <f t="shared" si="19"/>
        <v>0</v>
      </c>
      <c r="BI46" s="82">
        <f>AZ46+BC46+BF46</f>
        <v>0</v>
      </c>
      <c r="BJ46" s="581">
        <f t="shared" ref="BJ46:BJ48" si="244">BA46+BD46+BG46</f>
        <v>0</v>
      </c>
      <c r="BK46" s="580">
        <f t="shared" si="71"/>
        <v>0</v>
      </c>
      <c r="BL46" s="132"/>
      <c r="BM46" s="133"/>
      <c r="BN46" s="80">
        <f t="shared" si="21"/>
        <v>0</v>
      </c>
      <c r="BO46" s="132"/>
      <c r="BP46" s="133"/>
      <c r="BQ46" s="80">
        <f t="shared" si="22"/>
        <v>0</v>
      </c>
      <c r="BR46" s="132"/>
      <c r="BS46" s="133"/>
      <c r="BT46" s="81">
        <f t="shared" si="23"/>
        <v>0</v>
      </c>
      <c r="BU46" s="82">
        <f>BL46+BO46+BR46</f>
        <v>0</v>
      </c>
      <c r="BV46" s="581">
        <f t="shared" ref="BV46:BV48" si="245">BM46+BP46+BS46</f>
        <v>0</v>
      </c>
      <c r="BW46" s="580">
        <f t="shared" si="131"/>
        <v>0</v>
      </c>
      <c r="BX46" s="132"/>
      <c r="BY46" s="133"/>
      <c r="BZ46" s="80">
        <f t="shared" si="132"/>
        <v>0</v>
      </c>
      <c r="CA46" s="132"/>
      <c r="CB46" s="133"/>
      <c r="CC46" s="80">
        <f t="shared" si="133"/>
        <v>0</v>
      </c>
      <c r="CD46" s="132"/>
      <c r="CE46" s="133"/>
      <c r="CF46" s="81">
        <f t="shared" si="134"/>
        <v>0</v>
      </c>
      <c r="CG46" s="82">
        <f>BX46+CA46+CD46</f>
        <v>0</v>
      </c>
      <c r="CH46" s="581">
        <f t="shared" ref="CH46:CH48" si="246">BY46+CB46+CE46</f>
        <v>0</v>
      </c>
    </row>
    <row r="47" spans="1:86" s="68" customFormat="1">
      <c r="A47" s="115" t="s">
        <v>300</v>
      </c>
      <c r="B47" s="83" t="s">
        <v>216</v>
      </c>
      <c r="C47" s="580">
        <f t="shared" si="0"/>
        <v>0</v>
      </c>
      <c r="D47" s="132"/>
      <c r="E47" s="133"/>
      <c r="F47" s="80">
        <f t="shared" si="1"/>
        <v>0</v>
      </c>
      <c r="G47" s="132"/>
      <c r="H47" s="133"/>
      <c r="I47" s="80">
        <f t="shared" si="2"/>
        <v>0</v>
      </c>
      <c r="J47" s="132"/>
      <c r="K47" s="133"/>
      <c r="L47" s="417">
        <f t="shared" si="3"/>
        <v>0</v>
      </c>
      <c r="M47" s="82">
        <f t="shared" ref="M47:M48" si="247">D47+G47+J47</f>
        <v>0</v>
      </c>
      <c r="N47" s="581">
        <f t="shared" si="240"/>
        <v>0</v>
      </c>
      <c r="O47" s="80">
        <f t="shared" si="4"/>
        <v>0</v>
      </c>
      <c r="P47" s="132"/>
      <c r="Q47" s="133"/>
      <c r="R47" s="80">
        <f t="shared" si="5"/>
        <v>0</v>
      </c>
      <c r="S47" s="132"/>
      <c r="T47" s="133"/>
      <c r="U47" s="80">
        <f t="shared" si="6"/>
        <v>0</v>
      </c>
      <c r="V47" s="132"/>
      <c r="W47" s="133"/>
      <c r="X47" s="81">
        <f t="shared" si="7"/>
        <v>0</v>
      </c>
      <c r="Y47" s="82">
        <f t="shared" ref="Y47:Y48" si="248">P47+S47+V47</f>
        <v>0</v>
      </c>
      <c r="Z47" s="564">
        <f t="shared" si="241"/>
        <v>0</v>
      </c>
      <c r="AA47" s="580">
        <f t="shared" si="8"/>
        <v>0</v>
      </c>
      <c r="AB47" s="132"/>
      <c r="AC47" s="133"/>
      <c r="AD47" s="80">
        <f t="shared" si="9"/>
        <v>0</v>
      </c>
      <c r="AE47" s="132"/>
      <c r="AF47" s="133"/>
      <c r="AG47" s="80">
        <f t="shared" si="10"/>
        <v>0</v>
      </c>
      <c r="AH47" s="132"/>
      <c r="AI47" s="133"/>
      <c r="AJ47" s="81">
        <f t="shared" si="11"/>
        <v>0</v>
      </c>
      <c r="AK47" s="82">
        <f t="shared" ref="AK47:AK48" si="249">AB47+AE47+AH47</f>
        <v>0</v>
      </c>
      <c r="AL47" s="581">
        <f t="shared" si="242"/>
        <v>0</v>
      </c>
      <c r="AM47" s="80">
        <f t="shared" si="12"/>
        <v>0</v>
      </c>
      <c r="AN47" s="132"/>
      <c r="AO47" s="133"/>
      <c r="AP47" s="80">
        <f t="shared" si="13"/>
        <v>0</v>
      </c>
      <c r="AQ47" s="132"/>
      <c r="AR47" s="133"/>
      <c r="AS47" s="80">
        <f t="shared" si="14"/>
        <v>0</v>
      </c>
      <c r="AT47" s="132"/>
      <c r="AU47" s="133"/>
      <c r="AV47" s="417">
        <f t="shared" si="15"/>
        <v>0</v>
      </c>
      <c r="AW47" s="82">
        <f t="shared" ref="AW47:AW48" si="250">AN47+AQ47+AT47</f>
        <v>0</v>
      </c>
      <c r="AX47" s="564">
        <f t="shared" si="243"/>
        <v>0</v>
      </c>
      <c r="AY47" s="580">
        <f t="shared" si="66"/>
        <v>0</v>
      </c>
      <c r="AZ47" s="132"/>
      <c r="BA47" s="133"/>
      <c r="BB47" s="80">
        <f t="shared" si="17"/>
        <v>0</v>
      </c>
      <c r="BC47" s="132"/>
      <c r="BD47" s="133"/>
      <c r="BE47" s="80">
        <f t="shared" si="18"/>
        <v>0</v>
      </c>
      <c r="BF47" s="132"/>
      <c r="BG47" s="133"/>
      <c r="BH47" s="81">
        <f t="shared" si="19"/>
        <v>0</v>
      </c>
      <c r="BI47" s="82">
        <f t="shared" ref="BI47:BI48" si="251">AZ47+BC47+BF47</f>
        <v>0</v>
      </c>
      <c r="BJ47" s="581">
        <f t="shared" si="244"/>
        <v>0</v>
      </c>
      <c r="BK47" s="580">
        <f t="shared" si="71"/>
        <v>0</v>
      </c>
      <c r="BL47" s="132"/>
      <c r="BM47" s="133"/>
      <c r="BN47" s="80">
        <f t="shared" si="21"/>
        <v>0</v>
      </c>
      <c r="BO47" s="132"/>
      <c r="BP47" s="133"/>
      <c r="BQ47" s="80">
        <f t="shared" si="22"/>
        <v>0</v>
      </c>
      <c r="BR47" s="132"/>
      <c r="BS47" s="133"/>
      <c r="BT47" s="81">
        <f t="shared" si="23"/>
        <v>0</v>
      </c>
      <c r="BU47" s="82">
        <f t="shared" ref="BU47:BU48" si="252">BL47+BO47+BR47</f>
        <v>0</v>
      </c>
      <c r="BV47" s="581">
        <f t="shared" si="245"/>
        <v>0</v>
      </c>
      <c r="BW47" s="580">
        <f t="shared" si="131"/>
        <v>0</v>
      </c>
      <c r="BX47" s="132"/>
      <c r="BY47" s="133"/>
      <c r="BZ47" s="80">
        <f t="shared" si="132"/>
        <v>0</v>
      </c>
      <c r="CA47" s="132"/>
      <c r="CB47" s="133"/>
      <c r="CC47" s="80">
        <f t="shared" si="133"/>
        <v>0</v>
      </c>
      <c r="CD47" s="132"/>
      <c r="CE47" s="133"/>
      <c r="CF47" s="81">
        <f t="shared" si="134"/>
        <v>0</v>
      </c>
      <c r="CG47" s="82">
        <f t="shared" ref="CG47:CG48" si="253">BX47+CA47+CD47</f>
        <v>0</v>
      </c>
      <c r="CH47" s="581">
        <f t="shared" si="246"/>
        <v>0</v>
      </c>
    </row>
    <row r="48" spans="1:86" s="68" customFormat="1">
      <c r="A48" s="115" t="s">
        <v>301</v>
      </c>
      <c r="B48" s="84" t="s">
        <v>217</v>
      </c>
      <c r="C48" s="580">
        <f t="shared" si="0"/>
        <v>590</v>
      </c>
      <c r="D48" s="132">
        <v>590</v>
      </c>
      <c r="E48" s="133"/>
      <c r="F48" s="80">
        <f t="shared" si="1"/>
        <v>0</v>
      </c>
      <c r="G48" s="132"/>
      <c r="H48" s="133"/>
      <c r="I48" s="80">
        <f t="shared" si="2"/>
        <v>0</v>
      </c>
      <c r="J48" s="132"/>
      <c r="K48" s="133"/>
      <c r="L48" s="417">
        <f t="shared" si="3"/>
        <v>590</v>
      </c>
      <c r="M48" s="82">
        <f t="shared" si="247"/>
        <v>590</v>
      </c>
      <c r="N48" s="581">
        <f t="shared" si="240"/>
        <v>0</v>
      </c>
      <c r="O48" s="80">
        <f t="shared" si="4"/>
        <v>10070</v>
      </c>
      <c r="P48" s="132">
        <v>10070</v>
      </c>
      <c r="Q48" s="133"/>
      <c r="R48" s="80">
        <f t="shared" si="5"/>
        <v>0</v>
      </c>
      <c r="S48" s="132"/>
      <c r="T48" s="133"/>
      <c r="U48" s="80">
        <f t="shared" si="6"/>
        <v>0</v>
      </c>
      <c r="V48" s="132"/>
      <c r="W48" s="133"/>
      <c r="X48" s="81">
        <f t="shared" si="7"/>
        <v>10070</v>
      </c>
      <c r="Y48" s="82">
        <f t="shared" si="248"/>
        <v>10070</v>
      </c>
      <c r="Z48" s="564">
        <f t="shared" si="241"/>
        <v>0</v>
      </c>
      <c r="AA48" s="580">
        <f t="shared" si="8"/>
        <v>170</v>
      </c>
      <c r="AB48" s="132">
        <v>170</v>
      </c>
      <c r="AC48" s="133"/>
      <c r="AD48" s="80">
        <f t="shared" si="9"/>
        <v>211825</v>
      </c>
      <c r="AE48" s="132">
        <v>211825</v>
      </c>
      <c r="AF48" s="133"/>
      <c r="AG48" s="80">
        <f t="shared" si="10"/>
        <v>-14178</v>
      </c>
      <c r="AH48" s="132">
        <v>-14178</v>
      </c>
      <c r="AI48" s="133"/>
      <c r="AJ48" s="81">
        <f t="shared" si="11"/>
        <v>197817</v>
      </c>
      <c r="AK48" s="82">
        <f t="shared" si="249"/>
        <v>197817</v>
      </c>
      <c r="AL48" s="581">
        <f t="shared" si="242"/>
        <v>0</v>
      </c>
      <c r="AM48" s="80">
        <f t="shared" si="12"/>
        <v>0</v>
      </c>
      <c r="AN48" s="132"/>
      <c r="AO48" s="133"/>
      <c r="AP48" s="80">
        <f t="shared" si="13"/>
        <v>0</v>
      </c>
      <c r="AQ48" s="132"/>
      <c r="AR48" s="133"/>
      <c r="AS48" s="80">
        <f t="shared" si="14"/>
        <v>41667</v>
      </c>
      <c r="AT48" s="132">
        <v>41667</v>
      </c>
      <c r="AU48" s="133"/>
      <c r="AV48" s="417">
        <f t="shared" si="15"/>
        <v>41667</v>
      </c>
      <c r="AW48" s="82">
        <f t="shared" si="250"/>
        <v>41667</v>
      </c>
      <c r="AX48" s="564">
        <f t="shared" si="243"/>
        <v>0</v>
      </c>
      <c r="AY48" s="580">
        <f t="shared" si="66"/>
        <v>0</v>
      </c>
      <c r="AZ48" s="132"/>
      <c r="BA48" s="133"/>
      <c r="BB48" s="80">
        <f t="shared" si="17"/>
        <v>-14159</v>
      </c>
      <c r="BC48" s="132">
        <f>-14159*1</f>
        <v>-14159</v>
      </c>
      <c r="BD48" s="133"/>
      <c r="BE48" s="80">
        <f t="shared" si="18"/>
        <v>0</v>
      </c>
      <c r="BF48" s="132"/>
      <c r="BG48" s="133"/>
      <c r="BH48" s="81">
        <f t="shared" si="19"/>
        <v>-14159</v>
      </c>
      <c r="BI48" s="82">
        <f t="shared" si="251"/>
        <v>-14159</v>
      </c>
      <c r="BJ48" s="581">
        <f t="shared" si="244"/>
        <v>0</v>
      </c>
      <c r="BK48" s="580">
        <f t="shared" si="71"/>
        <v>0</v>
      </c>
      <c r="BL48" s="132"/>
      <c r="BM48" s="133"/>
      <c r="BN48" s="80">
        <f t="shared" si="21"/>
        <v>0</v>
      </c>
      <c r="BO48" s="132"/>
      <c r="BP48" s="133"/>
      <c r="BQ48" s="80">
        <f t="shared" si="22"/>
        <v>0</v>
      </c>
      <c r="BR48" s="132"/>
      <c r="BS48" s="133"/>
      <c r="BT48" s="81">
        <f t="shared" si="23"/>
        <v>0</v>
      </c>
      <c r="BU48" s="82">
        <f t="shared" si="252"/>
        <v>0</v>
      </c>
      <c r="BV48" s="581">
        <f t="shared" si="245"/>
        <v>0</v>
      </c>
      <c r="BW48" s="580">
        <f t="shared" si="131"/>
        <v>0</v>
      </c>
      <c r="BX48" s="132"/>
      <c r="BY48" s="133"/>
      <c r="BZ48" s="80">
        <f t="shared" si="132"/>
        <v>0</v>
      </c>
      <c r="CA48" s="132"/>
      <c r="CB48" s="133"/>
      <c r="CC48" s="80">
        <f t="shared" si="133"/>
        <v>0</v>
      </c>
      <c r="CD48" s="132"/>
      <c r="CE48" s="133"/>
      <c r="CF48" s="81">
        <f t="shared" si="134"/>
        <v>0</v>
      </c>
      <c r="CG48" s="82">
        <f t="shared" si="253"/>
        <v>0</v>
      </c>
      <c r="CH48" s="581">
        <f t="shared" si="246"/>
        <v>0</v>
      </c>
    </row>
    <row r="49" spans="1:86" s="101" customFormat="1">
      <c r="A49" s="109">
        <f>A45+1</f>
        <v>12</v>
      </c>
      <c r="B49" s="47" t="s">
        <v>254</v>
      </c>
      <c r="C49" s="570">
        <f t="shared" si="0"/>
        <v>590</v>
      </c>
      <c r="D49" s="48">
        <f>SUM(D50:D52)</f>
        <v>590</v>
      </c>
      <c r="E49" s="49">
        <f>SUM(E50:E52)</f>
        <v>0</v>
      </c>
      <c r="F49" s="50">
        <f t="shared" si="1"/>
        <v>0</v>
      </c>
      <c r="G49" s="48">
        <f>SUM(G50:G52)</f>
        <v>0</v>
      </c>
      <c r="H49" s="49">
        <f>SUM(H50:H52)</f>
        <v>0</v>
      </c>
      <c r="I49" s="50">
        <f t="shared" si="2"/>
        <v>0</v>
      </c>
      <c r="J49" s="48">
        <f>SUM(J50:J52)</f>
        <v>0</v>
      </c>
      <c r="K49" s="49">
        <f>SUM(K50:K52)</f>
        <v>0</v>
      </c>
      <c r="L49" s="411">
        <f t="shared" si="3"/>
        <v>590</v>
      </c>
      <c r="M49" s="55">
        <f>SUM(M50:M52)</f>
        <v>590</v>
      </c>
      <c r="N49" s="571">
        <f>SUM(N50:N52)</f>
        <v>0</v>
      </c>
      <c r="O49" s="50">
        <f t="shared" si="4"/>
        <v>10070</v>
      </c>
      <c r="P49" s="48">
        <f>SUM(P50:P52)</f>
        <v>10070</v>
      </c>
      <c r="Q49" s="49">
        <f>SUM(Q50:Q52)</f>
        <v>0</v>
      </c>
      <c r="R49" s="50">
        <f t="shared" si="5"/>
        <v>0</v>
      </c>
      <c r="S49" s="48">
        <f>SUM(S50:S52)</f>
        <v>0</v>
      </c>
      <c r="T49" s="49">
        <f>SUM(T50:T52)</f>
        <v>0</v>
      </c>
      <c r="U49" s="50">
        <f t="shared" si="6"/>
        <v>0</v>
      </c>
      <c r="V49" s="48">
        <f>SUM(V50:V52)</f>
        <v>0</v>
      </c>
      <c r="W49" s="49">
        <f>SUM(W50:W52)</f>
        <v>0</v>
      </c>
      <c r="X49" s="54">
        <f t="shared" si="7"/>
        <v>10070</v>
      </c>
      <c r="Y49" s="55">
        <f>SUM(Y50:Y52)</f>
        <v>10070</v>
      </c>
      <c r="Z49" s="557">
        <f>SUM(Z50:Z52)</f>
        <v>0</v>
      </c>
      <c r="AA49" s="570">
        <f t="shared" si="8"/>
        <v>170</v>
      </c>
      <c r="AB49" s="48">
        <f>SUM(AB50:AB52)</f>
        <v>170</v>
      </c>
      <c r="AC49" s="49">
        <f>SUM(AC50:AC52)</f>
        <v>0</v>
      </c>
      <c r="AD49" s="50">
        <f t="shared" si="9"/>
        <v>211825</v>
      </c>
      <c r="AE49" s="48">
        <f>SUM(AE50:AE52)</f>
        <v>211825</v>
      </c>
      <c r="AF49" s="49">
        <f>SUM(AF50:AF52)</f>
        <v>0</v>
      </c>
      <c r="AG49" s="50">
        <f t="shared" si="10"/>
        <v>-14178</v>
      </c>
      <c r="AH49" s="48">
        <f>SUM(AH50:AH52)</f>
        <v>-14178</v>
      </c>
      <c r="AI49" s="49">
        <f>SUM(AI50:AI52)</f>
        <v>0</v>
      </c>
      <c r="AJ49" s="54">
        <f t="shared" si="11"/>
        <v>197817</v>
      </c>
      <c r="AK49" s="55">
        <f>SUM(AK50:AK52)</f>
        <v>197817</v>
      </c>
      <c r="AL49" s="571">
        <f>SUM(AL50:AL52)</f>
        <v>0</v>
      </c>
      <c r="AM49" s="50">
        <f t="shared" si="12"/>
        <v>0</v>
      </c>
      <c r="AN49" s="48">
        <f>SUM(AN50:AN52)</f>
        <v>0</v>
      </c>
      <c r="AO49" s="49">
        <f>SUM(AO50:AO52)</f>
        <v>0</v>
      </c>
      <c r="AP49" s="50">
        <f t="shared" si="13"/>
        <v>0</v>
      </c>
      <c r="AQ49" s="48">
        <f>SUM(AQ50:AQ52)</f>
        <v>0</v>
      </c>
      <c r="AR49" s="49">
        <f>SUM(AR50:AR52)</f>
        <v>0</v>
      </c>
      <c r="AS49" s="50">
        <f t="shared" si="14"/>
        <v>41667</v>
      </c>
      <c r="AT49" s="48">
        <f>SUM(AT50:AT52)</f>
        <v>41667</v>
      </c>
      <c r="AU49" s="49">
        <f>SUM(AU50:AU52)</f>
        <v>0</v>
      </c>
      <c r="AV49" s="411">
        <f t="shared" si="15"/>
        <v>41667</v>
      </c>
      <c r="AW49" s="55">
        <f>SUM(AW50:AW52)</f>
        <v>41667</v>
      </c>
      <c r="AX49" s="557">
        <f>SUM(AX50:AX52)</f>
        <v>0</v>
      </c>
      <c r="AY49" s="570">
        <f t="shared" si="66"/>
        <v>0</v>
      </c>
      <c r="AZ49" s="48">
        <f>SUM(AZ50:AZ52)</f>
        <v>0</v>
      </c>
      <c r="BA49" s="49">
        <f>SUM(BA50:BA52)</f>
        <v>0</v>
      </c>
      <c r="BB49" s="50">
        <f t="shared" si="17"/>
        <v>-14159</v>
      </c>
      <c r="BC49" s="48">
        <f>SUM(BC50:BC52)</f>
        <v>-14159</v>
      </c>
      <c r="BD49" s="49">
        <f>SUM(BD50:BD52)</f>
        <v>0</v>
      </c>
      <c r="BE49" s="50">
        <f t="shared" si="18"/>
        <v>0</v>
      </c>
      <c r="BF49" s="48">
        <f>SUM(BF50:BF52)</f>
        <v>0</v>
      </c>
      <c r="BG49" s="49">
        <f>SUM(BG50:BG52)</f>
        <v>0</v>
      </c>
      <c r="BH49" s="54">
        <f t="shared" si="19"/>
        <v>-14159</v>
      </c>
      <c r="BI49" s="55">
        <f>SUM(BI50:BI52)</f>
        <v>-14159</v>
      </c>
      <c r="BJ49" s="571">
        <f>SUM(BJ50:BJ52)</f>
        <v>0</v>
      </c>
      <c r="BK49" s="570">
        <f t="shared" si="71"/>
        <v>0</v>
      </c>
      <c r="BL49" s="48">
        <f>SUM(BL50:BL52)</f>
        <v>0</v>
      </c>
      <c r="BM49" s="49">
        <f>SUM(BM50:BM52)</f>
        <v>0</v>
      </c>
      <c r="BN49" s="50">
        <f t="shared" si="21"/>
        <v>0</v>
      </c>
      <c r="BO49" s="48">
        <f>SUM(BO50:BO52)</f>
        <v>0</v>
      </c>
      <c r="BP49" s="49">
        <f>SUM(BP50:BP52)</f>
        <v>0</v>
      </c>
      <c r="BQ49" s="50">
        <f t="shared" si="22"/>
        <v>0</v>
      </c>
      <c r="BR49" s="48">
        <f>SUM(BR50:BR52)</f>
        <v>0</v>
      </c>
      <c r="BS49" s="49">
        <f>SUM(BS50:BS52)</f>
        <v>0</v>
      </c>
      <c r="BT49" s="54">
        <f t="shared" si="23"/>
        <v>0</v>
      </c>
      <c r="BU49" s="55">
        <f>SUM(BU50:BU52)</f>
        <v>0</v>
      </c>
      <c r="BV49" s="571">
        <f>SUM(BV50:BV52)</f>
        <v>0</v>
      </c>
      <c r="BW49" s="570">
        <f t="shared" si="131"/>
        <v>0</v>
      </c>
      <c r="BX49" s="48">
        <f>SUM(BX50:BX52)</f>
        <v>0</v>
      </c>
      <c r="BY49" s="49">
        <f>SUM(BY50:BY52)</f>
        <v>0</v>
      </c>
      <c r="BZ49" s="50">
        <f t="shared" si="132"/>
        <v>0</v>
      </c>
      <c r="CA49" s="48">
        <f>SUM(CA50:CA52)</f>
        <v>0</v>
      </c>
      <c r="CB49" s="49">
        <f>SUM(CB50:CB52)</f>
        <v>0</v>
      </c>
      <c r="CC49" s="50">
        <f t="shared" si="133"/>
        <v>-0.2</v>
      </c>
      <c r="CD49" s="48">
        <f>SUM(CD50:CD52)</f>
        <v>-0.2</v>
      </c>
      <c r="CE49" s="49">
        <f>SUM(CE50:CE52)</f>
        <v>0</v>
      </c>
      <c r="CF49" s="54">
        <f t="shared" si="134"/>
        <v>-0.2</v>
      </c>
      <c r="CG49" s="55">
        <f>SUM(CG50:CG52)</f>
        <v>-0.2</v>
      </c>
      <c r="CH49" s="571">
        <f>SUM(CH50:CH52)</f>
        <v>0</v>
      </c>
    </row>
    <row r="50" spans="1:86" s="68" customFormat="1">
      <c r="A50" s="116" t="s">
        <v>302</v>
      </c>
      <c r="B50" s="85" t="s">
        <v>218</v>
      </c>
      <c r="C50" s="582">
        <f t="shared" si="0"/>
        <v>0</v>
      </c>
      <c r="D50" s="132"/>
      <c r="E50" s="133"/>
      <c r="F50" s="86">
        <f t="shared" si="1"/>
        <v>0</v>
      </c>
      <c r="G50" s="132"/>
      <c r="H50" s="133"/>
      <c r="I50" s="86">
        <f t="shared" si="2"/>
        <v>0</v>
      </c>
      <c r="J50" s="132"/>
      <c r="K50" s="133"/>
      <c r="L50" s="418">
        <f t="shared" si="3"/>
        <v>0</v>
      </c>
      <c r="M50" s="88">
        <f>D50+G50+J50</f>
        <v>0</v>
      </c>
      <c r="N50" s="583">
        <f t="shared" ref="N50:N52" si="254">E50+H50+K50</f>
        <v>0</v>
      </c>
      <c r="O50" s="86">
        <f t="shared" si="4"/>
        <v>0</v>
      </c>
      <c r="P50" s="132"/>
      <c r="Q50" s="133"/>
      <c r="R50" s="86">
        <f t="shared" si="5"/>
        <v>0</v>
      </c>
      <c r="S50" s="132"/>
      <c r="T50" s="133"/>
      <c r="U50" s="86">
        <f t="shared" si="6"/>
        <v>0</v>
      </c>
      <c r="V50" s="132"/>
      <c r="W50" s="133"/>
      <c r="X50" s="87">
        <f t="shared" si="7"/>
        <v>0</v>
      </c>
      <c r="Y50" s="88">
        <f>P50+S50+V50</f>
        <v>0</v>
      </c>
      <c r="Z50" s="562">
        <f t="shared" ref="Z50:Z52" si="255">Q50+T50+W50</f>
        <v>0</v>
      </c>
      <c r="AA50" s="582">
        <f t="shared" si="8"/>
        <v>0</v>
      </c>
      <c r="AB50" s="132"/>
      <c r="AC50" s="133"/>
      <c r="AD50" s="86">
        <f t="shared" si="9"/>
        <v>0</v>
      </c>
      <c r="AE50" s="132"/>
      <c r="AF50" s="133"/>
      <c r="AG50" s="86">
        <f t="shared" si="10"/>
        <v>0</v>
      </c>
      <c r="AH50" s="132"/>
      <c r="AI50" s="133"/>
      <c r="AJ50" s="87">
        <f t="shared" si="11"/>
        <v>0</v>
      </c>
      <c r="AK50" s="88">
        <f>AB50+AE50+AH50</f>
        <v>0</v>
      </c>
      <c r="AL50" s="583">
        <f t="shared" ref="AL50:AL52" si="256">AC50+AF50+AI50</f>
        <v>0</v>
      </c>
      <c r="AM50" s="86">
        <f t="shared" si="12"/>
        <v>0</v>
      </c>
      <c r="AN50" s="132"/>
      <c r="AO50" s="133"/>
      <c r="AP50" s="86">
        <f t="shared" si="13"/>
        <v>0</v>
      </c>
      <c r="AQ50" s="132"/>
      <c r="AR50" s="133"/>
      <c r="AS50" s="86">
        <f t="shared" si="14"/>
        <v>0</v>
      </c>
      <c r="AT50" s="132"/>
      <c r="AU50" s="133"/>
      <c r="AV50" s="418">
        <f t="shared" si="15"/>
        <v>0</v>
      </c>
      <c r="AW50" s="88">
        <f>AN50+AQ50+AT50</f>
        <v>0</v>
      </c>
      <c r="AX50" s="562">
        <f t="shared" ref="AX50:AX52" si="257">AO50+AR50+AU50</f>
        <v>0</v>
      </c>
      <c r="AY50" s="582">
        <f t="shared" si="66"/>
        <v>0</v>
      </c>
      <c r="AZ50" s="132"/>
      <c r="BA50" s="133"/>
      <c r="BB50" s="86">
        <f t="shared" si="17"/>
        <v>0</v>
      </c>
      <c r="BC50" s="132"/>
      <c r="BD50" s="133"/>
      <c r="BE50" s="86">
        <f t="shared" si="18"/>
        <v>0</v>
      </c>
      <c r="BF50" s="132"/>
      <c r="BG50" s="133"/>
      <c r="BH50" s="87">
        <f t="shared" si="19"/>
        <v>0</v>
      </c>
      <c r="BI50" s="88">
        <f>AZ50+BC50+BF50</f>
        <v>0</v>
      </c>
      <c r="BJ50" s="583">
        <f t="shared" ref="BJ50:BJ52" si="258">BA50+BD50+BG50</f>
        <v>0</v>
      </c>
      <c r="BK50" s="582">
        <f t="shared" si="71"/>
        <v>0</v>
      </c>
      <c r="BL50" s="132"/>
      <c r="BM50" s="133"/>
      <c r="BN50" s="86">
        <f t="shared" si="21"/>
        <v>0</v>
      </c>
      <c r="BO50" s="132"/>
      <c r="BP50" s="133"/>
      <c r="BQ50" s="86">
        <f t="shared" si="22"/>
        <v>0</v>
      </c>
      <c r="BR50" s="132"/>
      <c r="BS50" s="133"/>
      <c r="BT50" s="87">
        <f t="shared" si="23"/>
        <v>0</v>
      </c>
      <c r="BU50" s="88">
        <f>BL50+BO50+BR50</f>
        <v>0</v>
      </c>
      <c r="BV50" s="583">
        <f t="shared" ref="BV50:BV52" si="259">BM50+BP50+BS50</f>
        <v>0</v>
      </c>
      <c r="BW50" s="582">
        <f t="shared" si="131"/>
        <v>0</v>
      </c>
      <c r="BX50" s="132"/>
      <c r="BY50" s="133"/>
      <c r="BZ50" s="86">
        <f t="shared" si="132"/>
        <v>0</v>
      </c>
      <c r="CA50" s="132"/>
      <c r="CB50" s="133"/>
      <c r="CC50" s="86">
        <f t="shared" si="133"/>
        <v>0</v>
      </c>
      <c r="CD50" s="132"/>
      <c r="CE50" s="133"/>
      <c r="CF50" s="87">
        <f t="shared" si="134"/>
        <v>0</v>
      </c>
      <c r="CG50" s="88">
        <f>BX50+CA50+CD50</f>
        <v>0</v>
      </c>
      <c r="CH50" s="583">
        <f t="shared" ref="CH50:CH52" si="260">BY50+CB50+CE50</f>
        <v>0</v>
      </c>
    </row>
    <row r="51" spans="1:86" s="68" customFormat="1">
      <c r="A51" s="116" t="s">
        <v>303</v>
      </c>
      <c r="B51" s="89" t="s">
        <v>216</v>
      </c>
      <c r="C51" s="582">
        <f t="shared" si="0"/>
        <v>0</v>
      </c>
      <c r="D51" s="132"/>
      <c r="E51" s="133"/>
      <c r="F51" s="86">
        <f t="shared" si="1"/>
        <v>0</v>
      </c>
      <c r="G51" s="132"/>
      <c r="H51" s="133"/>
      <c r="I51" s="86">
        <f t="shared" si="2"/>
        <v>0</v>
      </c>
      <c r="J51" s="132"/>
      <c r="K51" s="133"/>
      <c r="L51" s="418">
        <f t="shared" si="3"/>
        <v>0</v>
      </c>
      <c r="M51" s="88">
        <f t="shared" ref="M51:M52" si="261">D51+G51+J51</f>
        <v>0</v>
      </c>
      <c r="N51" s="583">
        <f t="shared" si="254"/>
        <v>0</v>
      </c>
      <c r="O51" s="86">
        <f t="shared" si="4"/>
        <v>0</v>
      </c>
      <c r="P51" s="132"/>
      <c r="Q51" s="133"/>
      <c r="R51" s="86">
        <f t="shared" si="5"/>
        <v>0</v>
      </c>
      <c r="S51" s="132"/>
      <c r="T51" s="133"/>
      <c r="U51" s="86">
        <f t="shared" si="6"/>
        <v>0</v>
      </c>
      <c r="V51" s="132"/>
      <c r="W51" s="133"/>
      <c r="X51" s="87">
        <f t="shared" si="7"/>
        <v>0</v>
      </c>
      <c r="Y51" s="88">
        <f t="shared" ref="Y51:Y52" si="262">P51+S51+V51</f>
        <v>0</v>
      </c>
      <c r="Z51" s="562">
        <f t="shared" si="255"/>
        <v>0</v>
      </c>
      <c r="AA51" s="582">
        <f t="shared" si="8"/>
        <v>0</v>
      </c>
      <c r="AB51" s="132"/>
      <c r="AC51" s="133"/>
      <c r="AD51" s="86">
        <f t="shared" si="9"/>
        <v>0</v>
      </c>
      <c r="AE51" s="132"/>
      <c r="AF51" s="133"/>
      <c r="AG51" s="86">
        <f t="shared" si="10"/>
        <v>0</v>
      </c>
      <c r="AH51" s="132"/>
      <c r="AI51" s="133"/>
      <c r="AJ51" s="87">
        <f t="shared" si="11"/>
        <v>0</v>
      </c>
      <c r="AK51" s="88">
        <f t="shared" ref="AK51:AK52" si="263">AB51+AE51+AH51</f>
        <v>0</v>
      </c>
      <c r="AL51" s="583">
        <f t="shared" si="256"/>
        <v>0</v>
      </c>
      <c r="AM51" s="86">
        <f t="shared" si="12"/>
        <v>0</v>
      </c>
      <c r="AN51" s="132"/>
      <c r="AO51" s="133"/>
      <c r="AP51" s="86">
        <f t="shared" si="13"/>
        <v>0</v>
      </c>
      <c r="AQ51" s="132"/>
      <c r="AR51" s="133"/>
      <c r="AS51" s="86">
        <f t="shared" si="14"/>
        <v>0</v>
      </c>
      <c r="AT51" s="132"/>
      <c r="AU51" s="133"/>
      <c r="AV51" s="418">
        <f t="shared" si="15"/>
        <v>0</v>
      </c>
      <c r="AW51" s="88">
        <f t="shared" ref="AW51:AW52" si="264">AN51+AQ51+AT51</f>
        <v>0</v>
      </c>
      <c r="AX51" s="562">
        <f t="shared" si="257"/>
        <v>0</v>
      </c>
      <c r="AY51" s="582">
        <f t="shared" si="66"/>
        <v>0</v>
      </c>
      <c r="AZ51" s="132"/>
      <c r="BA51" s="133"/>
      <c r="BB51" s="86">
        <f t="shared" si="17"/>
        <v>0</v>
      </c>
      <c r="BC51" s="132"/>
      <c r="BD51" s="133"/>
      <c r="BE51" s="86">
        <f t="shared" si="18"/>
        <v>0</v>
      </c>
      <c r="BF51" s="132"/>
      <c r="BG51" s="133"/>
      <c r="BH51" s="87">
        <f t="shared" si="19"/>
        <v>0</v>
      </c>
      <c r="BI51" s="88">
        <f t="shared" ref="BI51:BI52" si="265">AZ51+BC51+BF51</f>
        <v>0</v>
      </c>
      <c r="BJ51" s="583">
        <f t="shared" si="258"/>
        <v>0</v>
      </c>
      <c r="BK51" s="582">
        <f t="shared" si="71"/>
        <v>0</v>
      </c>
      <c r="BL51" s="132"/>
      <c r="BM51" s="133"/>
      <c r="BN51" s="86">
        <f t="shared" si="21"/>
        <v>0</v>
      </c>
      <c r="BO51" s="132"/>
      <c r="BP51" s="133"/>
      <c r="BQ51" s="86">
        <f t="shared" si="22"/>
        <v>0</v>
      </c>
      <c r="BR51" s="132"/>
      <c r="BS51" s="133"/>
      <c r="BT51" s="87">
        <f t="shared" si="23"/>
        <v>0</v>
      </c>
      <c r="BU51" s="88">
        <f t="shared" ref="BU51:BU52" si="266">BL51+BO51+BR51</f>
        <v>0</v>
      </c>
      <c r="BV51" s="583">
        <f t="shared" si="259"/>
        <v>0</v>
      </c>
      <c r="BW51" s="582">
        <f t="shared" si="131"/>
        <v>0</v>
      </c>
      <c r="BX51" s="132"/>
      <c r="BY51" s="133"/>
      <c r="BZ51" s="86">
        <f t="shared" si="132"/>
        <v>0</v>
      </c>
      <c r="CA51" s="132"/>
      <c r="CB51" s="133"/>
      <c r="CC51" s="86">
        <f t="shared" si="133"/>
        <v>-0.2</v>
      </c>
      <c r="CD51" s="421">
        <v>-0.2</v>
      </c>
      <c r="CE51" s="133"/>
      <c r="CF51" s="87">
        <f t="shared" si="134"/>
        <v>-0.2</v>
      </c>
      <c r="CG51" s="88">
        <f t="shared" ref="CG51:CG52" si="267">BX51+CA51+CD51</f>
        <v>-0.2</v>
      </c>
      <c r="CH51" s="583">
        <f t="shared" si="260"/>
        <v>0</v>
      </c>
    </row>
    <row r="52" spans="1:86" s="68" customFormat="1" ht="14.4" thickBot="1">
      <c r="A52" s="118" t="s">
        <v>304</v>
      </c>
      <c r="B52" s="96" t="s">
        <v>217</v>
      </c>
      <c r="C52" s="586">
        <f t="shared" si="0"/>
        <v>590</v>
      </c>
      <c r="D52" s="132">
        <v>590</v>
      </c>
      <c r="E52" s="133"/>
      <c r="F52" s="97">
        <f t="shared" si="1"/>
        <v>0</v>
      </c>
      <c r="G52" s="132"/>
      <c r="H52" s="133"/>
      <c r="I52" s="97">
        <f t="shared" si="2"/>
        <v>0</v>
      </c>
      <c r="J52" s="132"/>
      <c r="K52" s="133"/>
      <c r="L52" s="420">
        <f t="shared" si="3"/>
        <v>590</v>
      </c>
      <c r="M52" s="99">
        <f t="shared" si="261"/>
        <v>590</v>
      </c>
      <c r="N52" s="587">
        <f t="shared" si="254"/>
        <v>0</v>
      </c>
      <c r="O52" s="97">
        <f t="shared" si="4"/>
        <v>10070</v>
      </c>
      <c r="P52" s="132">
        <v>10070</v>
      </c>
      <c r="Q52" s="133"/>
      <c r="R52" s="97">
        <f t="shared" si="5"/>
        <v>0</v>
      </c>
      <c r="S52" s="132"/>
      <c r="T52" s="133"/>
      <c r="U52" s="97">
        <f t="shared" si="6"/>
        <v>0</v>
      </c>
      <c r="V52" s="132"/>
      <c r="W52" s="133"/>
      <c r="X52" s="98">
        <f t="shared" si="7"/>
        <v>10070</v>
      </c>
      <c r="Y52" s="99">
        <f t="shared" si="262"/>
        <v>10070</v>
      </c>
      <c r="Z52" s="565">
        <f t="shared" si="255"/>
        <v>0</v>
      </c>
      <c r="AA52" s="586">
        <f t="shared" si="8"/>
        <v>170</v>
      </c>
      <c r="AB52" s="132">
        <v>170</v>
      </c>
      <c r="AC52" s="133"/>
      <c r="AD52" s="97">
        <f t="shared" si="9"/>
        <v>211825</v>
      </c>
      <c r="AE52" s="132">
        <v>211825</v>
      </c>
      <c r="AF52" s="133"/>
      <c r="AG52" s="97">
        <f t="shared" si="10"/>
        <v>-14178</v>
      </c>
      <c r="AH52" s="132">
        <v>-14178</v>
      </c>
      <c r="AI52" s="133"/>
      <c r="AJ52" s="98">
        <f t="shared" si="11"/>
        <v>197817</v>
      </c>
      <c r="AK52" s="99">
        <f t="shared" si="263"/>
        <v>197817</v>
      </c>
      <c r="AL52" s="587">
        <f t="shared" si="256"/>
        <v>0</v>
      </c>
      <c r="AM52" s="97">
        <f t="shared" si="12"/>
        <v>0</v>
      </c>
      <c r="AN52" s="132"/>
      <c r="AO52" s="133"/>
      <c r="AP52" s="97">
        <f t="shared" si="13"/>
        <v>0</v>
      </c>
      <c r="AQ52" s="132"/>
      <c r="AR52" s="133"/>
      <c r="AS52" s="97">
        <f t="shared" si="14"/>
        <v>41667</v>
      </c>
      <c r="AT52" s="132">
        <v>41667</v>
      </c>
      <c r="AU52" s="133"/>
      <c r="AV52" s="420">
        <f t="shared" si="15"/>
        <v>41667</v>
      </c>
      <c r="AW52" s="99">
        <f t="shared" si="264"/>
        <v>41667</v>
      </c>
      <c r="AX52" s="565">
        <f t="shared" si="257"/>
        <v>0</v>
      </c>
      <c r="AY52" s="586">
        <f t="shared" si="66"/>
        <v>0</v>
      </c>
      <c r="AZ52" s="132"/>
      <c r="BA52" s="133"/>
      <c r="BB52" s="97">
        <f t="shared" si="17"/>
        <v>-14159</v>
      </c>
      <c r="BC52" s="132">
        <f>-14159*1</f>
        <v>-14159</v>
      </c>
      <c r="BD52" s="133"/>
      <c r="BE52" s="97">
        <f t="shared" si="18"/>
        <v>0</v>
      </c>
      <c r="BF52" s="132"/>
      <c r="BG52" s="133"/>
      <c r="BH52" s="98">
        <f t="shared" si="19"/>
        <v>-14159</v>
      </c>
      <c r="BI52" s="99">
        <f t="shared" si="265"/>
        <v>-14159</v>
      </c>
      <c r="BJ52" s="587">
        <f t="shared" si="258"/>
        <v>0</v>
      </c>
      <c r="BK52" s="586">
        <f t="shared" si="71"/>
        <v>0</v>
      </c>
      <c r="BL52" s="132"/>
      <c r="BM52" s="133"/>
      <c r="BN52" s="97">
        <f t="shared" si="21"/>
        <v>0</v>
      </c>
      <c r="BO52" s="132"/>
      <c r="BP52" s="133"/>
      <c r="BQ52" s="97">
        <f t="shared" si="22"/>
        <v>0</v>
      </c>
      <c r="BR52" s="132"/>
      <c r="BS52" s="133"/>
      <c r="BT52" s="98">
        <f t="shared" si="23"/>
        <v>0</v>
      </c>
      <c r="BU52" s="99">
        <f t="shared" si="266"/>
        <v>0</v>
      </c>
      <c r="BV52" s="587">
        <f t="shared" si="259"/>
        <v>0</v>
      </c>
      <c r="BW52" s="586">
        <f t="shared" si="131"/>
        <v>0</v>
      </c>
      <c r="BX52" s="132"/>
      <c r="BY52" s="133"/>
      <c r="BZ52" s="97">
        <f t="shared" si="132"/>
        <v>0</v>
      </c>
      <c r="CA52" s="132"/>
      <c r="CB52" s="133"/>
      <c r="CC52" s="97">
        <f t="shared" si="133"/>
        <v>0</v>
      </c>
      <c r="CD52" s="132"/>
      <c r="CE52" s="133"/>
      <c r="CF52" s="98">
        <f t="shared" si="134"/>
        <v>0</v>
      </c>
      <c r="CG52" s="99">
        <f t="shared" si="267"/>
        <v>0</v>
      </c>
      <c r="CH52" s="587">
        <f t="shared" si="260"/>
        <v>0</v>
      </c>
    </row>
    <row r="53" spans="1:86" s="101" customFormat="1">
      <c r="A53" s="107">
        <v>13</v>
      </c>
      <c r="B53" s="26" t="s">
        <v>255</v>
      </c>
      <c r="C53" s="566">
        <f t="shared" si="0"/>
        <v>86577.2</v>
      </c>
      <c r="D53" s="27">
        <f>SUM(D54:D56)</f>
        <v>86563.237999999998</v>
      </c>
      <c r="E53" s="28">
        <f>SUM(E54:E56)</f>
        <v>13.962000000000002</v>
      </c>
      <c r="F53" s="29">
        <f t="shared" si="1"/>
        <v>7110598.9800000004</v>
      </c>
      <c r="G53" s="27">
        <f>SUM(G54:G56)</f>
        <v>7097067.9800000004</v>
      </c>
      <c r="H53" s="28">
        <f>SUM(H54:H56)</f>
        <v>13531</v>
      </c>
      <c r="I53" s="29">
        <f t="shared" si="2"/>
        <v>579450.84000000008</v>
      </c>
      <c r="J53" s="27">
        <f>SUM(J54:J56)</f>
        <v>579450.84000000008</v>
      </c>
      <c r="K53" s="28">
        <f>SUM(K54:K56)</f>
        <v>0</v>
      </c>
      <c r="L53" s="409">
        <f t="shared" si="3"/>
        <v>7776627.0200000005</v>
      </c>
      <c r="M53" s="34">
        <f>SUM(M54:M56)</f>
        <v>7763082.0580000002</v>
      </c>
      <c r="N53" s="567">
        <f>SUM(N54:N56)</f>
        <v>13544.962</v>
      </c>
      <c r="O53" s="29">
        <f t="shared" si="4"/>
        <v>96647.2</v>
      </c>
      <c r="P53" s="27">
        <f>SUM(P54:P56)</f>
        <v>96633.237999999998</v>
      </c>
      <c r="Q53" s="28">
        <f>SUM(Q54:Q56)</f>
        <v>13.962000000000002</v>
      </c>
      <c r="R53" s="29">
        <f t="shared" si="5"/>
        <v>8156221.9800000004</v>
      </c>
      <c r="S53" s="27">
        <f>SUM(S54:S56)</f>
        <v>8133460.9800000004</v>
      </c>
      <c r="T53" s="28">
        <f>SUM(T54:T56)</f>
        <v>22761</v>
      </c>
      <c r="U53" s="29">
        <f t="shared" si="6"/>
        <v>1355455.84</v>
      </c>
      <c r="V53" s="27">
        <f>SUM(V54:V56)</f>
        <v>1355455.84</v>
      </c>
      <c r="W53" s="28">
        <f>SUM(W54:W56)</f>
        <v>0</v>
      </c>
      <c r="X53" s="33">
        <f t="shared" si="7"/>
        <v>9608325.0199999996</v>
      </c>
      <c r="Y53" s="34">
        <f>SUM(Y54:Y56)</f>
        <v>9585550.0580000002</v>
      </c>
      <c r="Z53" s="555">
        <f>SUM(Z54:Z56)</f>
        <v>22774.962</v>
      </c>
      <c r="AA53" s="566">
        <f t="shared" si="8"/>
        <v>96817.2</v>
      </c>
      <c r="AB53" s="27">
        <f>SUM(AB54:AB56)</f>
        <v>96803.237999999998</v>
      </c>
      <c r="AC53" s="28">
        <f>SUM(AC54:AC56)</f>
        <v>13.962000000000002</v>
      </c>
      <c r="AD53" s="29">
        <f t="shared" si="9"/>
        <v>12961248.98</v>
      </c>
      <c r="AE53" s="27">
        <f>SUM(AE54:AE56)</f>
        <v>12938487.98</v>
      </c>
      <c r="AF53" s="28">
        <f>SUM(AF54:AF56)</f>
        <v>22761</v>
      </c>
      <c r="AG53" s="29">
        <f t="shared" si="10"/>
        <v>633390.83999999985</v>
      </c>
      <c r="AH53" s="27">
        <f>SUM(AH54:AH56)</f>
        <v>633390.83999999985</v>
      </c>
      <c r="AI53" s="28">
        <f>SUM(AI54:AI56)</f>
        <v>0</v>
      </c>
      <c r="AJ53" s="33">
        <f t="shared" si="11"/>
        <v>13691457.019999998</v>
      </c>
      <c r="AK53" s="34">
        <f>SUM(AK54:AK56)</f>
        <v>13668682.057999998</v>
      </c>
      <c r="AL53" s="567">
        <f>SUM(AL54:AL56)</f>
        <v>22774.962</v>
      </c>
      <c r="AM53" s="29">
        <f t="shared" si="12"/>
        <v>96817.2</v>
      </c>
      <c r="AN53" s="27">
        <f>SUM(AN54:AN56)</f>
        <v>96803.237999999998</v>
      </c>
      <c r="AO53" s="28">
        <f>SUM(AO54:AO56)</f>
        <v>13.962000000000002</v>
      </c>
      <c r="AP53" s="29">
        <f t="shared" si="13"/>
        <v>14274492.979999999</v>
      </c>
      <c r="AQ53" s="27">
        <f>SUM(AQ54:AQ56)</f>
        <v>14239995.289999999</v>
      </c>
      <c r="AR53" s="28">
        <f>SUM(AR54:AR56)</f>
        <v>34497.69</v>
      </c>
      <c r="AS53" s="29">
        <f t="shared" si="14"/>
        <v>1086579.8399999999</v>
      </c>
      <c r="AT53" s="27">
        <f>SUM(AT54:AT56)</f>
        <v>1086579.8399999999</v>
      </c>
      <c r="AU53" s="28">
        <f>SUM(AU54:AU56)</f>
        <v>0</v>
      </c>
      <c r="AV53" s="409">
        <f t="shared" si="15"/>
        <v>15457890.02</v>
      </c>
      <c r="AW53" s="34">
        <f>SUM(AW54:AW56)</f>
        <v>15423378.367999999</v>
      </c>
      <c r="AX53" s="555">
        <f>SUM(AX54:AX56)</f>
        <v>34511.652000000002</v>
      </c>
      <c r="AY53" s="566">
        <f t="shared" si="66"/>
        <v>96207.2</v>
      </c>
      <c r="AZ53" s="27">
        <f>SUM(AZ54:AZ56)</f>
        <v>96193.237999999998</v>
      </c>
      <c r="BA53" s="28">
        <f>SUM(BA54:BA56)</f>
        <v>13.962000000000002</v>
      </c>
      <c r="BB53" s="29">
        <f t="shared" si="17"/>
        <v>14284647.979999999</v>
      </c>
      <c r="BC53" s="27">
        <f>SUM(BC54:BC56)</f>
        <v>14250150.289999999</v>
      </c>
      <c r="BD53" s="28">
        <f>SUM(BD54:BD56)</f>
        <v>34497.69</v>
      </c>
      <c r="BE53" s="29">
        <f t="shared" si="18"/>
        <v>1622949.8399999999</v>
      </c>
      <c r="BF53" s="27">
        <f>SUM(BF54:BF56)</f>
        <v>1622949.8399999999</v>
      </c>
      <c r="BG53" s="28">
        <f>SUM(BG54:BG56)</f>
        <v>0</v>
      </c>
      <c r="BH53" s="33">
        <f t="shared" si="19"/>
        <v>16003805.02</v>
      </c>
      <c r="BI53" s="34">
        <f>SUM(BI54:BI56)</f>
        <v>15969293.367999999</v>
      </c>
      <c r="BJ53" s="567">
        <f>SUM(BJ54:BJ56)</f>
        <v>34511.652000000002</v>
      </c>
      <c r="BK53" s="566">
        <f t="shared" si="71"/>
        <v>96207.2</v>
      </c>
      <c r="BL53" s="27">
        <f>SUM(BL54:BL56)</f>
        <v>96193.237999999998</v>
      </c>
      <c r="BM53" s="28">
        <f>SUM(BM54:BM56)</f>
        <v>13.962000000000002</v>
      </c>
      <c r="BN53" s="29">
        <f t="shared" si="21"/>
        <v>14287027.979999999</v>
      </c>
      <c r="BO53" s="27">
        <f>SUM(BO54:BO56)</f>
        <v>14252530.289999999</v>
      </c>
      <c r="BP53" s="28">
        <f>SUM(BP54:BP56)</f>
        <v>34497.69</v>
      </c>
      <c r="BQ53" s="29">
        <f t="shared" si="22"/>
        <v>2118116.48</v>
      </c>
      <c r="BR53" s="27">
        <f>SUM(BR54:BR56)</f>
        <v>2118116.48</v>
      </c>
      <c r="BS53" s="28">
        <f>SUM(BS54:BS56)</f>
        <v>0</v>
      </c>
      <c r="BT53" s="33">
        <f t="shared" si="23"/>
        <v>16501351.66</v>
      </c>
      <c r="BU53" s="34">
        <f>SUM(BU54:BU56)</f>
        <v>16466840.007999999</v>
      </c>
      <c r="BV53" s="567">
        <f>SUM(BV54:BV56)</f>
        <v>34511.652000000002</v>
      </c>
      <c r="BW53" s="566">
        <f t="shared" si="131"/>
        <v>96207.2</v>
      </c>
      <c r="BX53" s="27">
        <f>SUM(BX54:BX56)</f>
        <v>96193.237999999998</v>
      </c>
      <c r="BY53" s="28">
        <f>SUM(BY54:BY56)</f>
        <v>13.962000000000002</v>
      </c>
      <c r="BZ53" s="29">
        <f t="shared" si="132"/>
        <v>18413050.98</v>
      </c>
      <c r="CA53" s="27">
        <f>SUM(CA54:CA56)</f>
        <v>18378553.289999999</v>
      </c>
      <c r="CB53" s="28">
        <f>SUM(CB54:CB56)</f>
        <v>34497.69</v>
      </c>
      <c r="CC53" s="29">
        <f t="shared" si="133"/>
        <v>-46540.520000000019</v>
      </c>
      <c r="CD53" s="27">
        <f>SUM(CD54:CD56)</f>
        <v>-46540.520000000019</v>
      </c>
      <c r="CE53" s="28">
        <f>SUM(CE54:CE56)</f>
        <v>0</v>
      </c>
      <c r="CF53" s="33">
        <f t="shared" si="134"/>
        <v>18462717.66</v>
      </c>
      <c r="CG53" s="34">
        <f>SUM(CG54:CG56)</f>
        <v>18428206.008000001</v>
      </c>
      <c r="CH53" s="567">
        <f>SUM(CH54:CH56)</f>
        <v>34511.652000000002</v>
      </c>
    </row>
    <row r="54" spans="1:86" s="100" customFormat="1">
      <c r="A54" s="108" t="s">
        <v>305</v>
      </c>
      <c r="B54" s="36" t="s">
        <v>218</v>
      </c>
      <c r="C54" s="568">
        <f t="shared" si="0"/>
        <v>0</v>
      </c>
      <c r="D54" s="37">
        <f>D6+D14-D22-D30+D38+D46</f>
        <v>0</v>
      </c>
      <c r="E54" s="38">
        <f t="shared" ref="E54" si="268">E6+E14-E22-E30+E38+E46</f>
        <v>0</v>
      </c>
      <c r="F54" s="39">
        <f t="shared" si="1"/>
        <v>0</v>
      </c>
      <c r="G54" s="37">
        <f>G6+G14-G22-G30+G38+G46</f>
        <v>0</v>
      </c>
      <c r="H54" s="38">
        <f t="shared" ref="H54" si="269">H6+H14-H22-H30+H38+H46</f>
        <v>0</v>
      </c>
      <c r="I54" s="39">
        <f t="shared" si="2"/>
        <v>0</v>
      </c>
      <c r="J54" s="37">
        <f>J6+J14-J22-J30+J38+J46</f>
        <v>0</v>
      </c>
      <c r="K54" s="38">
        <f t="shared" ref="K54" si="270">K6+K14-K22-K30+K38+K46</f>
        <v>0</v>
      </c>
      <c r="L54" s="410">
        <f t="shared" si="3"/>
        <v>0</v>
      </c>
      <c r="M54" s="44">
        <f>D54+G54+J54</f>
        <v>0</v>
      </c>
      <c r="N54" s="569">
        <f t="shared" ref="N54:N56" si="271">E54+H54+K54</f>
        <v>0</v>
      </c>
      <c r="O54" s="39">
        <f t="shared" si="4"/>
        <v>0</v>
      </c>
      <c r="P54" s="37">
        <f>P6+P14-P22-P30+P38+P46</f>
        <v>0</v>
      </c>
      <c r="Q54" s="38">
        <f t="shared" ref="Q54" si="272">Q6+Q14-Q22-Q30+Q38+Q46</f>
        <v>0</v>
      </c>
      <c r="R54" s="39">
        <f t="shared" si="5"/>
        <v>0</v>
      </c>
      <c r="S54" s="37">
        <f>S6+S14-S22-S30+S38+S46</f>
        <v>0</v>
      </c>
      <c r="T54" s="38">
        <f t="shared" ref="T54" si="273">T6+T14-T22-T30+T38+T46</f>
        <v>0</v>
      </c>
      <c r="U54" s="39">
        <f t="shared" si="6"/>
        <v>0</v>
      </c>
      <c r="V54" s="37">
        <f>V6+V14-V22-V30+V38+V46</f>
        <v>0</v>
      </c>
      <c r="W54" s="38">
        <f t="shared" ref="W54" si="274">W6+W14-W22-W30+W38+W46</f>
        <v>0</v>
      </c>
      <c r="X54" s="43">
        <f t="shared" si="7"/>
        <v>0</v>
      </c>
      <c r="Y54" s="44">
        <f>P54+S54+V54</f>
        <v>0</v>
      </c>
      <c r="Z54" s="556">
        <f t="shared" ref="Z54:Z56" si="275">Q54+T54+W54</f>
        <v>0</v>
      </c>
      <c r="AA54" s="568">
        <f t="shared" si="8"/>
        <v>0</v>
      </c>
      <c r="AB54" s="37">
        <f>AB6+AB14-AB22-AB30+AB38+AB46</f>
        <v>0</v>
      </c>
      <c r="AC54" s="38">
        <f t="shared" ref="AC54" si="276">AC6+AC14-AC22-AC30+AC38+AC46</f>
        <v>0</v>
      </c>
      <c r="AD54" s="39">
        <f t="shared" si="9"/>
        <v>0</v>
      </c>
      <c r="AE54" s="37">
        <f>AE6+AE14-AE22-AE30+AE38+AE46</f>
        <v>0</v>
      </c>
      <c r="AF54" s="38">
        <f t="shared" ref="AF54" si="277">AF6+AF14-AF22-AF30+AF38+AF46</f>
        <v>0</v>
      </c>
      <c r="AG54" s="39">
        <f t="shared" si="10"/>
        <v>0</v>
      </c>
      <c r="AH54" s="37">
        <f>AH6+AH14-AH22-AH30+AH38+AH46</f>
        <v>0</v>
      </c>
      <c r="AI54" s="38">
        <f t="shared" ref="AI54" si="278">AI6+AI14-AI22-AI30+AI38+AI46</f>
        <v>0</v>
      </c>
      <c r="AJ54" s="43">
        <f t="shared" si="11"/>
        <v>0</v>
      </c>
      <c r="AK54" s="44">
        <f>AB54+AE54+AH54</f>
        <v>0</v>
      </c>
      <c r="AL54" s="569">
        <f t="shared" ref="AL54:AL56" si="279">AC54+AF54+AI54</f>
        <v>0</v>
      </c>
      <c r="AM54" s="39">
        <f t="shared" si="12"/>
        <v>0</v>
      </c>
      <c r="AN54" s="37">
        <f>AN6+AN14-AN22-AN30+AN38+AN46</f>
        <v>0</v>
      </c>
      <c r="AO54" s="38">
        <f t="shared" ref="AO54" si="280">AO6+AO14-AO22-AO30+AO38+AO46</f>
        <v>0</v>
      </c>
      <c r="AP54" s="39">
        <f t="shared" si="13"/>
        <v>0</v>
      </c>
      <c r="AQ54" s="37">
        <f>AQ6+AQ14-AQ22-AQ30+AQ38+AQ46</f>
        <v>0</v>
      </c>
      <c r="AR54" s="38">
        <f t="shared" ref="AR54" si="281">AR6+AR14-AR22-AR30+AR38+AR46</f>
        <v>0</v>
      </c>
      <c r="AS54" s="39">
        <f t="shared" si="14"/>
        <v>0</v>
      </c>
      <c r="AT54" s="37">
        <f>AT6+AT14-AT22-AT30+AT38+AT46</f>
        <v>0</v>
      </c>
      <c r="AU54" s="38">
        <f t="shared" ref="AU54" si="282">AU6+AU14-AU22-AU30+AU38+AU46</f>
        <v>0</v>
      </c>
      <c r="AV54" s="410">
        <f t="shared" si="15"/>
        <v>0</v>
      </c>
      <c r="AW54" s="44">
        <f>AN54+AQ54+AT54</f>
        <v>0</v>
      </c>
      <c r="AX54" s="556">
        <f t="shared" ref="AX54:AX56" si="283">AO54+AR54+AU54</f>
        <v>0</v>
      </c>
      <c r="AY54" s="568">
        <f t="shared" si="66"/>
        <v>0</v>
      </c>
      <c r="AZ54" s="37">
        <f>AZ6+AZ14-AZ22-AZ30+AZ38+AZ46</f>
        <v>0</v>
      </c>
      <c r="BA54" s="38">
        <f t="shared" ref="BA54" si="284">BA6+BA14-BA22-BA30+BA38+BA46</f>
        <v>0</v>
      </c>
      <c r="BB54" s="39">
        <f t="shared" si="17"/>
        <v>0</v>
      </c>
      <c r="BC54" s="37">
        <f>BC6+BC14-BC22-BC30+BC38+BC46</f>
        <v>0</v>
      </c>
      <c r="BD54" s="38">
        <f t="shared" ref="BD54" si="285">BD6+BD14-BD22-BD30+BD38+BD46</f>
        <v>0</v>
      </c>
      <c r="BE54" s="39">
        <f t="shared" si="18"/>
        <v>0</v>
      </c>
      <c r="BF54" s="37">
        <f>BF6+BF14-BF22-BF30+BF38+BF46</f>
        <v>0</v>
      </c>
      <c r="BG54" s="38">
        <f t="shared" ref="BG54" si="286">BG6+BG14-BG22-BG30+BG38+BG46</f>
        <v>0</v>
      </c>
      <c r="BH54" s="43">
        <f t="shared" si="19"/>
        <v>0</v>
      </c>
      <c r="BI54" s="44">
        <f>AZ54+BC54+BF54</f>
        <v>0</v>
      </c>
      <c r="BJ54" s="569">
        <f t="shared" ref="BJ54:BJ56" si="287">BA54+BD54+BG54</f>
        <v>0</v>
      </c>
      <c r="BK54" s="568">
        <f t="shared" si="71"/>
        <v>0</v>
      </c>
      <c r="BL54" s="37">
        <f>BL6+BL14-BL22-BL30+BL38+BL46</f>
        <v>0</v>
      </c>
      <c r="BM54" s="38">
        <f t="shared" ref="BM54" si="288">BM6+BM14-BM22-BM30+BM38+BM46</f>
        <v>0</v>
      </c>
      <c r="BN54" s="39">
        <f t="shared" si="21"/>
        <v>0</v>
      </c>
      <c r="BO54" s="37">
        <f>BO6+BO14-BO22-BO30+BO38+BO46</f>
        <v>0</v>
      </c>
      <c r="BP54" s="38">
        <f t="shared" ref="BP54" si="289">BP6+BP14-BP22-BP30+BP38+BP46</f>
        <v>0</v>
      </c>
      <c r="BQ54" s="39">
        <f t="shared" si="22"/>
        <v>0</v>
      </c>
      <c r="BR54" s="37">
        <f>BR6+BR14-BR22-BR30+BR38+BR46</f>
        <v>0</v>
      </c>
      <c r="BS54" s="38">
        <f t="shared" ref="BS54" si="290">BS6+BS14-BS22-BS30+BS38+BS46</f>
        <v>0</v>
      </c>
      <c r="BT54" s="43">
        <f t="shared" si="23"/>
        <v>0</v>
      </c>
      <c r="BU54" s="44">
        <f>BL54+BO54+BR54</f>
        <v>0</v>
      </c>
      <c r="BV54" s="569">
        <f t="shared" ref="BV54:BV56" si="291">BM54+BP54+BS54</f>
        <v>0</v>
      </c>
      <c r="BW54" s="568">
        <f t="shared" si="131"/>
        <v>0</v>
      </c>
      <c r="BX54" s="37">
        <f>BX6+BX14-BX22-BX30+BX38+BX46</f>
        <v>0</v>
      </c>
      <c r="BY54" s="38">
        <f t="shared" ref="BY54" si="292">BY6+BY14-BY22-BY30+BY38+BY46</f>
        <v>0</v>
      </c>
      <c r="BZ54" s="39">
        <f t="shared" si="132"/>
        <v>107447</v>
      </c>
      <c r="CA54" s="37">
        <f>CA6+CA14-CA22-CA30+CA38+CA46</f>
        <v>107447</v>
      </c>
      <c r="CB54" s="38">
        <f t="shared" ref="CB54" si="293">CB6+CB14-CB22-CB30+CB38+CB46</f>
        <v>0</v>
      </c>
      <c r="CC54" s="39">
        <f t="shared" si="133"/>
        <v>-54591</v>
      </c>
      <c r="CD54" s="37">
        <f>CD6+CD14-CD22-CD30+CD38+CD46</f>
        <v>-54591</v>
      </c>
      <c r="CE54" s="38">
        <f t="shared" ref="CE54" si="294">CE6+CE14-CE22-CE30+CE38+CE46</f>
        <v>0</v>
      </c>
      <c r="CF54" s="43">
        <f t="shared" si="134"/>
        <v>52856</v>
      </c>
      <c r="CG54" s="44">
        <f>BX54+CA54+CD54</f>
        <v>52856</v>
      </c>
      <c r="CH54" s="569">
        <f t="shared" ref="CH54:CH56" si="295">BY54+CB54+CE54</f>
        <v>0</v>
      </c>
    </row>
    <row r="55" spans="1:86" s="100" customFormat="1">
      <c r="A55" s="108" t="s">
        <v>306</v>
      </c>
      <c r="B55" s="45" t="s">
        <v>216</v>
      </c>
      <c r="C55" s="568">
        <f t="shared" si="0"/>
        <v>0</v>
      </c>
      <c r="D55" s="37">
        <f t="shared" ref="D55:E55" si="296">D7+D15-D23-D31+D39+D47</f>
        <v>0</v>
      </c>
      <c r="E55" s="38">
        <f t="shared" si="296"/>
        <v>0</v>
      </c>
      <c r="F55" s="39">
        <f t="shared" si="1"/>
        <v>4846720.2</v>
      </c>
      <c r="G55" s="37">
        <f t="shared" ref="G55:H55" si="297">G7+G15-G23-G31+G39+G47</f>
        <v>4841510.2</v>
      </c>
      <c r="H55" s="38">
        <f t="shared" si="297"/>
        <v>5210</v>
      </c>
      <c r="I55" s="39">
        <f t="shared" si="2"/>
        <v>299674</v>
      </c>
      <c r="J55" s="37">
        <f t="shared" ref="J55:K55" si="298">J7+J15-J23-J31+J39+J47</f>
        <v>299674</v>
      </c>
      <c r="K55" s="38">
        <f t="shared" si="298"/>
        <v>0</v>
      </c>
      <c r="L55" s="410">
        <f t="shared" si="3"/>
        <v>5146394.2</v>
      </c>
      <c r="M55" s="44">
        <f t="shared" ref="M55:M56" si="299">D55+G55+J55</f>
        <v>5141184.2</v>
      </c>
      <c r="N55" s="569">
        <f t="shared" si="271"/>
        <v>5210</v>
      </c>
      <c r="O55" s="39">
        <f t="shared" si="4"/>
        <v>0</v>
      </c>
      <c r="P55" s="37">
        <f t="shared" ref="P55:Q55" si="300">P7+P15-P23-P31+P39+P47</f>
        <v>0</v>
      </c>
      <c r="Q55" s="38">
        <f t="shared" si="300"/>
        <v>0</v>
      </c>
      <c r="R55" s="39">
        <f t="shared" si="5"/>
        <v>5227848.2</v>
      </c>
      <c r="S55" s="37">
        <f t="shared" ref="S55:T55" si="301">S7+S15-S23-S31+S39+S47</f>
        <v>5222638.2</v>
      </c>
      <c r="T55" s="38">
        <f t="shared" si="301"/>
        <v>5210</v>
      </c>
      <c r="U55" s="39">
        <f t="shared" si="6"/>
        <v>898234</v>
      </c>
      <c r="V55" s="37">
        <f t="shared" ref="V55:W55" si="302">V7+V15-V23-V31+V39+V47</f>
        <v>898234</v>
      </c>
      <c r="W55" s="38">
        <f t="shared" si="302"/>
        <v>0</v>
      </c>
      <c r="X55" s="43">
        <f t="shared" si="7"/>
        <v>6126082.2000000002</v>
      </c>
      <c r="Y55" s="44">
        <f t="shared" ref="Y55:Y56" si="303">P55+S55+V55</f>
        <v>6120872.2000000002</v>
      </c>
      <c r="Z55" s="556">
        <f t="shared" si="275"/>
        <v>5210</v>
      </c>
      <c r="AA55" s="568">
        <f t="shared" si="8"/>
        <v>0</v>
      </c>
      <c r="AB55" s="37">
        <f t="shared" ref="AB55:AC55" si="304">AB7+AB15-AB23-AB31+AB39+AB47</f>
        <v>0</v>
      </c>
      <c r="AC55" s="38">
        <f t="shared" si="304"/>
        <v>0</v>
      </c>
      <c r="AD55" s="39">
        <f t="shared" si="9"/>
        <v>8208123.2000000002</v>
      </c>
      <c r="AE55" s="37">
        <f t="shared" ref="AE55:AF55" si="305">AE7+AE15-AE23-AE31+AE39+AE47</f>
        <v>8202913.2000000002</v>
      </c>
      <c r="AF55" s="38">
        <f t="shared" si="305"/>
        <v>5210</v>
      </c>
      <c r="AG55" s="39">
        <f t="shared" si="10"/>
        <v>0</v>
      </c>
      <c r="AH55" s="37">
        <f t="shared" ref="AH55:AI55" si="306">AH7+AH15-AH23-AH31+AH39+AH47</f>
        <v>0</v>
      </c>
      <c r="AI55" s="38">
        <f t="shared" si="306"/>
        <v>0</v>
      </c>
      <c r="AJ55" s="43">
        <f t="shared" si="11"/>
        <v>8208123.2000000002</v>
      </c>
      <c r="AK55" s="44">
        <f t="shared" ref="AK55:AK56" si="307">AB55+AE55+AH55</f>
        <v>8202913.2000000002</v>
      </c>
      <c r="AL55" s="569">
        <f t="shared" si="279"/>
        <v>5210</v>
      </c>
      <c r="AM55" s="39">
        <f t="shared" si="12"/>
        <v>0</v>
      </c>
      <c r="AN55" s="37">
        <f t="shared" ref="AN55:AO55" si="308">AN7+AN15-AN23-AN31+AN39+AN47</f>
        <v>0</v>
      </c>
      <c r="AO55" s="38">
        <f t="shared" si="308"/>
        <v>0</v>
      </c>
      <c r="AP55" s="39">
        <f t="shared" si="13"/>
        <v>8559913.1999999993</v>
      </c>
      <c r="AQ55" s="37">
        <f t="shared" ref="AQ55:AR55" si="309">AQ7+AQ15-AQ23-AQ31+AQ39+AQ47</f>
        <v>8545795.0099999998</v>
      </c>
      <c r="AR55" s="38">
        <f t="shared" si="309"/>
        <v>14118.19</v>
      </c>
      <c r="AS55" s="39">
        <f t="shared" si="14"/>
        <v>0</v>
      </c>
      <c r="AT55" s="37">
        <f t="shared" ref="AT55:AU55" si="310">AT7+AT15-AT23-AT31+AT39+AT47</f>
        <v>0</v>
      </c>
      <c r="AU55" s="38">
        <f t="shared" si="310"/>
        <v>0</v>
      </c>
      <c r="AV55" s="410">
        <f t="shared" si="15"/>
        <v>8559913.1999999993</v>
      </c>
      <c r="AW55" s="44">
        <f t="shared" ref="AW55:AW56" si="311">AN55+AQ55+AT55</f>
        <v>8545795.0099999998</v>
      </c>
      <c r="AX55" s="556">
        <f t="shared" si="283"/>
        <v>14118.19</v>
      </c>
      <c r="AY55" s="568">
        <f t="shared" si="66"/>
        <v>0</v>
      </c>
      <c r="AZ55" s="37">
        <f t="shared" ref="AZ55:BA55" si="312">AZ7+AZ15-AZ23-AZ31+AZ39+AZ47</f>
        <v>0</v>
      </c>
      <c r="BA55" s="38">
        <f t="shared" si="312"/>
        <v>0</v>
      </c>
      <c r="BB55" s="39">
        <f t="shared" si="17"/>
        <v>8559913.1999999993</v>
      </c>
      <c r="BC55" s="37">
        <f t="shared" ref="BC55:BD55" si="313">BC7+BC15-BC23-BC31+BC39+BC47</f>
        <v>8545795.0099999998</v>
      </c>
      <c r="BD55" s="38">
        <f t="shared" si="313"/>
        <v>14118.19</v>
      </c>
      <c r="BE55" s="39">
        <f t="shared" si="18"/>
        <v>0</v>
      </c>
      <c r="BF55" s="37">
        <f t="shared" ref="BF55:BG55" si="314">BF7+BF15-BF23-BF31+BF39+BF47</f>
        <v>0</v>
      </c>
      <c r="BG55" s="38">
        <f t="shared" si="314"/>
        <v>0</v>
      </c>
      <c r="BH55" s="43">
        <f t="shared" si="19"/>
        <v>8559913.1999999993</v>
      </c>
      <c r="BI55" s="44">
        <f t="shared" ref="BI55:BI56" si="315">AZ55+BC55+BF55</f>
        <v>8545795.0099999998</v>
      </c>
      <c r="BJ55" s="569">
        <f t="shared" si="287"/>
        <v>14118.19</v>
      </c>
      <c r="BK55" s="568">
        <f t="shared" si="71"/>
        <v>0</v>
      </c>
      <c r="BL55" s="37">
        <f t="shared" ref="BL55:BM55" si="316">BL7+BL15-BL23-BL31+BL39+BL47</f>
        <v>0</v>
      </c>
      <c r="BM55" s="38">
        <f t="shared" si="316"/>
        <v>0</v>
      </c>
      <c r="BN55" s="39">
        <f t="shared" si="21"/>
        <v>8559913.1999999993</v>
      </c>
      <c r="BO55" s="37">
        <f t="shared" ref="BO55:BP55" si="317">BO7+BO15-BO23-BO31+BO39+BO47</f>
        <v>8545795.0099999998</v>
      </c>
      <c r="BP55" s="38">
        <f t="shared" si="317"/>
        <v>14118.19</v>
      </c>
      <c r="BQ55" s="39">
        <f t="shared" si="22"/>
        <v>0</v>
      </c>
      <c r="BR55" s="37">
        <f t="shared" ref="BR55:BS55" si="318">BR7+BR15-BR23-BR31+BR39+BR47</f>
        <v>0</v>
      </c>
      <c r="BS55" s="38">
        <f t="shared" si="318"/>
        <v>0</v>
      </c>
      <c r="BT55" s="43">
        <f t="shared" si="23"/>
        <v>8559913.1999999993</v>
      </c>
      <c r="BU55" s="44">
        <f t="shared" ref="BU55:BU56" si="319">BL55+BO55+BR55</f>
        <v>8545795.0099999998</v>
      </c>
      <c r="BV55" s="569">
        <f t="shared" si="291"/>
        <v>14118.19</v>
      </c>
      <c r="BW55" s="568">
        <f t="shared" si="131"/>
        <v>0</v>
      </c>
      <c r="BX55" s="37">
        <f t="shared" ref="BX55:BY55" si="320">BX7+BX15-BX23-BX31+BX39+BX47</f>
        <v>0</v>
      </c>
      <c r="BY55" s="38">
        <f t="shared" si="320"/>
        <v>0</v>
      </c>
      <c r="BZ55" s="39">
        <f t="shared" si="132"/>
        <v>8559913.1999999993</v>
      </c>
      <c r="CA55" s="37">
        <f t="shared" ref="CA55:CB55" si="321">CA7+CA15-CA23-CA31+CA39+CA47</f>
        <v>8545795.0099999998</v>
      </c>
      <c r="CB55" s="38">
        <f t="shared" si="321"/>
        <v>14118.19</v>
      </c>
      <c r="CC55" s="39">
        <f t="shared" si="133"/>
        <v>0</v>
      </c>
      <c r="CD55" s="37">
        <f t="shared" ref="CD55:CE55" si="322">CD7+CD15-CD23-CD31+CD39+CD47</f>
        <v>0</v>
      </c>
      <c r="CE55" s="38">
        <f t="shared" si="322"/>
        <v>0</v>
      </c>
      <c r="CF55" s="43">
        <f t="shared" si="134"/>
        <v>8559913.1999999993</v>
      </c>
      <c r="CG55" s="44">
        <f t="shared" ref="CG55:CG56" si="323">BX55+CA55+CD55</f>
        <v>8545795.0099999998</v>
      </c>
      <c r="CH55" s="569">
        <f t="shared" si="295"/>
        <v>14118.19</v>
      </c>
    </row>
    <row r="56" spans="1:86" s="100" customFormat="1">
      <c r="A56" s="108" t="s">
        <v>307</v>
      </c>
      <c r="B56" s="46" t="s">
        <v>217</v>
      </c>
      <c r="C56" s="568">
        <f t="shared" si="0"/>
        <v>86577.2</v>
      </c>
      <c r="D56" s="37">
        <f t="shared" ref="D56:E56" si="324">D8+D16-D24-D32+D40+D48</f>
        <v>86563.237999999998</v>
      </c>
      <c r="E56" s="38">
        <f t="shared" si="324"/>
        <v>13.962000000000002</v>
      </c>
      <c r="F56" s="39">
        <f t="shared" si="1"/>
        <v>2263878.7799999998</v>
      </c>
      <c r="G56" s="37">
        <f t="shared" ref="G56:H56" si="325">G8+G16-G24-G32+G40+G48</f>
        <v>2255557.7799999998</v>
      </c>
      <c r="H56" s="38">
        <f t="shared" si="325"/>
        <v>8321</v>
      </c>
      <c r="I56" s="39">
        <f t="shared" si="2"/>
        <v>279776.84000000008</v>
      </c>
      <c r="J56" s="37">
        <f t="shared" ref="J56:K56" si="326">J8+J16-J24-J32+J40+J48</f>
        <v>279776.84000000008</v>
      </c>
      <c r="K56" s="38">
        <f t="shared" si="326"/>
        <v>0</v>
      </c>
      <c r="L56" s="410">
        <f t="shared" si="3"/>
        <v>2630232.8199999998</v>
      </c>
      <c r="M56" s="44">
        <f t="shared" si="299"/>
        <v>2621897.858</v>
      </c>
      <c r="N56" s="569">
        <f t="shared" si="271"/>
        <v>8334.9619999999995</v>
      </c>
      <c r="O56" s="39">
        <f t="shared" si="4"/>
        <v>96647.2</v>
      </c>
      <c r="P56" s="37">
        <f t="shared" ref="P56:Q56" si="327">P8+P16-P24-P32+P40+P48</f>
        <v>96633.237999999998</v>
      </c>
      <c r="Q56" s="38">
        <f t="shared" si="327"/>
        <v>13.962000000000002</v>
      </c>
      <c r="R56" s="39">
        <f t="shared" si="5"/>
        <v>2928373.78</v>
      </c>
      <c r="S56" s="37">
        <f t="shared" ref="S56:T56" si="328">S8+S16-S24-S32+S40+S48</f>
        <v>2910822.78</v>
      </c>
      <c r="T56" s="38">
        <f t="shared" si="328"/>
        <v>17551</v>
      </c>
      <c r="U56" s="39">
        <f t="shared" si="6"/>
        <v>457221.84000000008</v>
      </c>
      <c r="V56" s="37">
        <f t="shared" ref="V56:W56" si="329">V8+V16-V24-V32+V40+V48</f>
        <v>457221.84000000008</v>
      </c>
      <c r="W56" s="38">
        <f t="shared" si="329"/>
        <v>0</v>
      </c>
      <c r="X56" s="43">
        <f t="shared" si="7"/>
        <v>3482242.82</v>
      </c>
      <c r="Y56" s="44">
        <f t="shared" si="303"/>
        <v>3464677.858</v>
      </c>
      <c r="Z56" s="556">
        <f t="shared" si="275"/>
        <v>17564.962</v>
      </c>
      <c r="AA56" s="568">
        <f t="shared" si="8"/>
        <v>96817.2</v>
      </c>
      <c r="AB56" s="37">
        <f t="shared" ref="AB56:AC56" si="330">AB8+AB16-AB24-AB32+AB40+AB48</f>
        <v>96803.237999999998</v>
      </c>
      <c r="AC56" s="38">
        <f t="shared" si="330"/>
        <v>13.962000000000002</v>
      </c>
      <c r="AD56" s="39">
        <f t="shared" si="9"/>
        <v>4753125.7799999993</v>
      </c>
      <c r="AE56" s="37">
        <f t="shared" ref="AE56:AF56" si="331">AE8+AE16-AE24-AE32+AE40+AE48</f>
        <v>4735574.7799999993</v>
      </c>
      <c r="AF56" s="38">
        <f t="shared" si="331"/>
        <v>17551</v>
      </c>
      <c r="AG56" s="39">
        <f t="shared" si="10"/>
        <v>633390.83999999985</v>
      </c>
      <c r="AH56" s="37">
        <f t="shared" ref="AH56:AI56" si="332">AH8+AH16-AH24-AH32+AH40+AH48</f>
        <v>633390.83999999985</v>
      </c>
      <c r="AI56" s="38">
        <f t="shared" si="332"/>
        <v>0</v>
      </c>
      <c r="AJ56" s="43">
        <f t="shared" si="11"/>
        <v>5483333.8199999994</v>
      </c>
      <c r="AK56" s="44">
        <f t="shared" si="307"/>
        <v>5465768.8579999991</v>
      </c>
      <c r="AL56" s="569">
        <f t="shared" si="279"/>
        <v>17564.962</v>
      </c>
      <c r="AM56" s="39">
        <f t="shared" si="12"/>
        <v>96817.2</v>
      </c>
      <c r="AN56" s="37">
        <f t="shared" ref="AN56:AO56" si="333">AN8+AN16-AN24-AN32+AN40+AN48</f>
        <v>96803.237999999998</v>
      </c>
      <c r="AO56" s="38">
        <f t="shared" si="333"/>
        <v>13.962000000000002</v>
      </c>
      <c r="AP56" s="39">
        <f t="shared" si="13"/>
        <v>5714579.7799999993</v>
      </c>
      <c r="AQ56" s="37">
        <f t="shared" ref="AQ56:AR56" si="334">AQ8+AQ16-AQ24-AQ32+AQ40+AQ48</f>
        <v>5694200.2799999993</v>
      </c>
      <c r="AR56" s="38">
        <f t="shared" si="334"/>
        <v>20379.5</v>
      </c>
      <c r="AS56" s="39">
        <f t="shared" si="14"/>
        <v>1086579.8399999999</v>
      </c>
      <c r="AT56" s="37">
        <f t="shared" ref="AT56:AU56" si="335">AT8+AT16-AT24-AT32+AT40+AT48</f>
        <v>1086579.8399999999</v>
      </c>
      <c r="AU56" s="38">
        <f t="shared" si="335"/>
        <v>0</v>
      </c>
      <c r="AV56" s="410">
        <f t="shared" si="15"/>
        <v>6897976.8199999994</v>
      </c>
      <c r="AW56" s="44">
        <f t="shared" si="311"/>
        <v>6877583.3579999991</v>
      </c>
      <c r="AX56" s="556">
        <f t="shared" si="283"/>
        <v>20393.462</v>
      </c>
      <c r="AY56" s="568">
        <f t="shared" si="66"/>
        <v>96207.2</v>
      </c>
      <c r="AZ56" s="37">
        <f t="shared" ref="AZ56:BA56" si="336">AZ8+AZ16-AZ24-AZ32+AZ40+AZ48</f>
        <v>96193.237999999998</v>
      </c>
      <c r="BA56" s="38">
        <f t="shared" si="336"/>
        <v>13.962000000000002</v>
      </c>
      <c r="BB56" s="39">
        <f t="shared" si="17"/>
        <v>5724734.7799999993</v>
      </c>
      <c r="BC56" s="37">
        <f t="shared" ref="BC56:BD56" si="337">BC8+BC16-BC24-BC32+BC40+BC48</f>
        <v>5704355.2799999993</v>
      </c>
      <c r="BD56" s="38">
        <f t="shared" si="337"/>
        <v>20379.5</v>
      </c>
      <c r="BE56" s="39">
        <f t="shared" si="18"/>
        <v>1622949.8399999999</v>
      </c>
      <c r="BF56" s="37">
        <f t="shared" ref="BF56:BG56" si="338">BF8+BF16-BF24-BF32+BF40+BF48</f>
        <v>1622949.8399999999</v>
      </c>
      <c r="BG56" s="38">
        <f t="shared" si="338"/>
        <v>0</v>
      </c>
      <c r="BH56" s="43">
        <f t="shared" si="19"/>
        <v>7443891.8199999994</v>
      </c>
      <c r="BI56" s="44">
        <f t="shared" si="315"/>
        <v>7423498.3579999991</v>
      </c>
      <c r="BJ56" s="569">
        <f t="shared" si="287"/>
        <v>20393.462</v>
      </c>
      <c r="BK56" s="568">
        <f t="shared" si="71"/>
        <v>96207.2</v>
      </c>
      <c r="BL56" s="37">
        <f t="shared" ref="BL56:BM56" si="339">BL8+BL16-BL24-BL32+BL40+BL48</f>
        <v>96193.237999999998</v>
      </c>
      <c r="BM56" s="38">
        <f t="shared" si="339"/>
        <v>13.962000000000002</v>
      </c>
      <c r="BN56" s="39">
        <f t="shared" si="21"/>
        <v>5727114.7799999993</v>
      </c>
      <c r="BO56" s="37">
        <f t="shared" ref="BO56:BP56" si="340">BO8+BO16-BO24-BO32+BO40+BO48</f>
        <v>5706735.2799999993</v>
      </c>
      <c r="BP56" s="38">
        <f t="shared" si="340"/>
        <v>20379.5</v>
      </c>
      <c r="BQ56" s="39">
        <f t="shared" si="22"/>
        <v>2118116.48</v>
      </c>
      <c r="BR56" s="37">
        <f t="shared" ref="BR56:BS56" si="341">BR8+BR16-BR24-BR32+BR40+BR48</f>
        <v>2118116.48</v>
      </c>
      <c r="BS56" s="38">
        <f t="shared" si="341"/>
        <v>0</v>
      </c>
      <c r="BT56" s="43">
        <f t="shared" si="23"/>
        <v>7941438.46</v>
      </c>
      <c r="BU56" s="44">
        <f t="shared" si="319"/>
        <v>7921044.9979999997</v>
      </c>
      <c r="BV56" s="569">
        <f t="shared" si="291"/>
        <v>20393.462</v>
      </c>
      <c r="BW56" s="568">
        <f t="shared" si="131"/>
        <v>96207.2</v>
      </c>
      <c r="BX56" s="37">
        <f t="shared" ref="BX56:BY56" si="342">BX8+BX16-BX24-BX32+BX40+BX48</f>
        <v>96193.237999999998</v>
      </c>
      <c r="BY56" s="38">
        <f t="shared" si="342"/>
        <v>13.962000000000002</v>
      </c>
      <c r="BZ56" s="39">
        <f t="shared" si="132"/>
        <v>9745690.7799999993</v>
      </c>
      <c r="CA56" s="37">
        <f t="shared" ref="CA56:CB56" si="343">CA8+CA16-CA24-CA32+CA40+CA48</f>
        <v>9725311.2799999993</v>
      </c>
      <c r="CB56" s="38">
        <f t="shared" si="343"/>
        <v>20379.5</v>
      </c>
      <c r="CC56" s="39">
        <f t="shared" si="133"/>
        <v>8050.4799999999814</v>
      </c>
      <c r="CD56" s="37">
        <f t="shared" ref="CD56:CE56" si="344">CD8+CD16-CD24-CD32+CD40+CD48</f>
        <v>8050.4799999999814</v>
      </c>
      <c r="CE56" s="38">
        <f t="shared" si="344"/>
        <v>0</v>
      </c>
      <c r="CF56" s="43">
        <f t="shared" si="134"/>
        <v>9849948.459999999</v>
      </c>
      <c r="CG56" s="44">
        <f t="shared" si="323"/>
        <v>9829554.9979999997</v>
      </c>
      <c r="CH56" s="569">
        <f t="shared" si="295"/>
        <v>20393.462</v>
      </c>
    </row>
    <row r="57" spans="1:86" s="101" customFormat="1">
      <c r="A57" s="109">
        <v>14</v>
      </c>
      <c r="B57" s="47" t="s">
        <v>256</v>
      </c>
      <c r="C57" s="570">
        <f t="shared" si="0"/>
        <v>86577</v>
      </c>
      <c r="D57" s="48">
        <f>SUM(D58:D60)</f>
        <v>86563.038</v>
      </c>
      <c r="E57" s="49">
        <f>SUM(E58:E60)</f>
        <v>13.962000000000002</v>
      </c>
      <c r="F57" s="50">
        <f t="shared" si="1"/>
        <v>5396068.3399999999</v>
      </c>
      <c r="G57" s="48">
        <f>SUM(G58:G60)</f>
        <v>5389547.54</v>
      </c>
      <c r="H57" s="49">
        <f>SUM(H58:H60)</f>
        <v>6520.8</v>
      </c>
      <c r="I57" s="50">
        <f t="shared" si="2"/>
        <v>579450.99</v>
      </c>
      <c r="J57" s="48">
        <f>SUM(J58:J60)</f>
        <v>579450.99</v>
      </c>
      <c r="K57" s="49">
        <f>SUM(K58:K60)</f>
        <v>0</v>
      </c>
      <c r="L57" s="411">
        <f t="shared" si="3"/>
        <v>6062096.3300000001</v>
      </c>
      <c r="M57" s="55">
        <f>SUM(M58:M60)</f>
        <v>6055561.568</v>
      </c>
      <c r="N57" s="571">
        <f>SUM(N58:N60)</f>
        <v>6534.7620000000006</v>
      </c>
      <c r="O57" s="50">
        <f t="shared" si="4"/>
        <v>96647</v>
      </c>
      <c r="P57" s="48">
        <f>SUM(P58:P60)</f>
        <v>96633.038</v>
      </c>
      <c r="Q57" s="49">
        <f>SUM(Q58:Q60)</f>
        <v>13.962000000000002</v>
      </c>
      <c r="R57" s="50">
        <f t="shared" si="5"/>
        <v>6221732.3399999999</v>
      </c>
      <c r="S57" s="48">
        <f>SUM(S58:S60)</f>
        <v>6200054.7400000002</v>
      </c>
      <c r="T57" s="49">
        <f>SUM(T58:T60)</f>
        <v>21677.600000000002</v>
      </c>
      <c r="U57" s="50">
        <f t="shared" si="6"/>
        <v>1355455.99</v>
      </c>
      <c r="V57" s="48">
        <f>SUM(V58:V60)</f>
        <v>1355455.99</v>
      </c>
      <c r="W57" s="49">
        <f>SUM(W58:W60)</f>
        <v>0</v>
      </c>
      <c r="X57" s="54">
        <f t="shared" si="7"/>
        <v>7673835.330000001</v>
      </c>
      <c r="Y57" s="55">
        <f>SUM(Y58:Y60)</f>
        <v>7652143.7680000011</v>
      </c>
      <c r="Z57" s="557">
        <f>SUM(Z58:Z60)</f>
        <v>21691.562000000002</v>
      </c>
      <c r="AA57" s="570">
        <f t="shared" si="8"/>
        <v>96817</v>
      </c>
      <c r="AB57" s="48">
        <f>SUM(AB58:AB60)</f>
        <v>96803.038</v>
      </c>
      <c r="AC57" s="49">
        <f>SUM(AC58:AC60)</f>
        <v>13.962000000000002</v>
      </c>
      <c r="AD57" s="50">
        <f t="shared" si="9"/>
        <v>10756822.340000002</v>
      </c>
      <c r="AE57" s="48">
        <f>SUM(AE58:AE60)</f>
        <v>10737077.940000001</v>
      </c>
      <c r="AF57" s="49">
        <f>SUM(AF58:AF60)</f>
        <v>19744.400000000001</v>
      </c>
      <c r="AG57" s="50">
        <f t="shared" si="10"/>
        <v>633390.99000000022</v>
      </c>
      <c r="AH57" s="48">
        <f>SUM(AH58:AH60)</f>
        <v>633390.99000000022</v>
      </c>
      <c r="AI57" s="49">
        <f>SUM(AI58:AI60)</f>
        <v>0</v>
      </c>
      <c r="AJ57" s="54">
        <f t="shared" si="11"/>
        <v>11487030.330000002</v>
      </c>
      <c r="AK57" s="55">
        <f>SUM(AK58:AK60)</f>
        <v>11467271.968000002</v>
      </c>
      <c r="AL57" s="571">
        <f>SUM(AL58:AL60)</f>
        <v>19758.362000000001</v>
      </c>
      <c r="AM57" s="50">
        <f t="shared" si="12"/>
        <v>96817</v>
      </c>
      <c r="AN57" s="48">
        <f>SUM(AN58:AN60)</f>
        <v>96803.038</v>
      </c>
      <c r="AO57" s="49">
        <f>SUM(AO58:AO60)</f>
        <v>13.962000000000002</v>
      </c>
      <c r="AP57" s="50">
        <f t="shared" si="13"/>
        <v>11659011.34</v>
      </c>
      <c r="AQ57" s="48">
        <f>SUM(AQ58:AQ60)</f>
        <v>11629463.449999999</v>
      </c>
      <c r="AR57" s="49">
        <f>SUM(AR58:AR60)</f>
        <v>29547.890000000007</v>
      </c>
      <c r="AS57" s="50">
        <f t="shared" si="14"/>
        <v>1086579.9900000002</v>
      </c>
      <c r="AT57" s="48">
        <f>SUM(AT58:AT60)</f>
        <v>1086579.9900000002</v>
      </c>
      <c r="AU57" s="49">
        <f>SUM(AU58:AU60)</f>
        <v>0</v>
      </c>
      <c r="AV57" s="411">
        <f t="shared" si="15"/>
        <v>12842408.33</v>
      </c>
      <c r="AW57" s="55">
        <f>SUM(AW58:AW60)</f>
        <v>12812846.478</v>
      </c>
      <c r="AX57" s="557">
        <f>SUM(AX58:AX60)</f>
        <v>29561.852000000006</v>
      </c>
      <c r="AY57" s="570">
        <f t="shared" si="66"/>
        <v>96207</v>
      </c>
      <c r="AZ57" s="48">
        <f>SUM(AZ58:AZ60)</f>
        <v>96193.038</v>
      </c>
      <c r="BA57" s="49">
        <f>SUM(BA58:BA60)</f>
        <v>13.962000000000002</v>
      </c>
      <c r="BB57" s="50">
        <f t="shared" si="17"/>
        <v>11362177.34</v>
      </c>
      <c r="BC57" s="48">
        <f>SUM(BC58:BC60)</f>
        <v>11334963.91</v>
      </c>
      <c r="BD57" s="49">
        <f>SUM(BD58:BD60)</f>
        <v>27213.430000000008</v>
      </c>
      <c r="BE57" s="50">
        <f t="shared" si="18"/>
        <v>1622949.9900000002</v>
      </c>
      <c r="BF57" s="48">
        <f>SUM(BF58:BF60)</f>
        <v>1622949.9900000002</v>
      </c>
      <c r="BG57" s="49">
        <f>SUM(BG58:BG60)</f>
        <v>0</v>
      </c>
      <c r="BH57" s="54">
        <f t="shared" si="19"/>
        <v>13081334.330000002</v>
      </c>
      <c r="BI57" s="48">
        <f>SUM(BI58:BI60)</f>
        <v>13054106.938000001</v>
      </c>
      <c r="BJ57" s="571">
        <f>SUM(BJ58:BJ60)</f>
        <v>27227.392000000007</v>
      </c>
      <c r="BK57" s="570">
        <f t="shared" si="71"/>
        <v>96207</v>
      </c>
      <c r="BL57" s="48">
        <f>SUM(BL58:BL60)</f>
        <v>96193.038</v>
      </c>
      <c r="BM57" s="49">
        <f>SUM(BM58:BM60)</f>
        <v>13.962000000000002</v>
      </c>
      <c r="BN57" s="50">
        <f t="shared" si="21"/>
        <v>10937706.58</v>
      </c>
      <c r="BO57" s="48">
        <f>SUM(BO58:BO60)</f>
        <v>10912827.609999999</v>
      </c>
      <c r="BP57" s="49">
        <f>SUM(BP58:BP60)</f>
        <v>24878.970000000008</v>
      </c>
      <c r="BQ57" s="50">
        <f t="shared" si="22"/>
        <v>2118116.6300000004</v>
      </c>
      <c r="BR57" s="48">
        <f>SUM(BR58:BR60)</f>
        <v>2118116.6300000004</v>
      </c>
      <c r="BS57" s="49">
        <f>SUM(BS58:BS60)</f>
        <v>0</v>
      </c>
      <c r="BT57" s="54">
        <f t="shared" si="23"/>
        <v>13152030.210000001</v>
      </c>
      <c r="BU57" s="48">
        <f>SUM(BU58:BU60)</f>
        <v>13127137.278000001</v>
      </c>
      <c r="BV57" s="571">
        <f>SUM(BV58:BV60)</f>
        <v>24892.932000000008</v>
      </c>
      <c r="BW57" s="570">
        <f t="shared" si="131"/>
        <v>96207</v>
      </c>
      <c r="BX57" s="48">
        <f>SUM(BX58:BX60)</f>
        <v>96193.038</v>
      </c>
      <c r="BY57" s="49">
        <f>SUM(BY58:BY60)</f>
        <v>13.962000000000002</v>
      </c>
      <c r="BZ57" s="50">
        <f t="shared" si="132"/>
        <v>14449866.493328715</v>
      </c>
      <c r="CA57" s="48">
        <f>SUM(CA58:CA60)</f>
        <v>14427321.983328715</v>
      </c>
      <c r="CB57" s="49">
        <f>SUM(CB58:CB60)</f>
        <v>22544.510000000009</v>
      </c>
      <c r="CC57" s="50">
        <f t="shared" si="133"/>
        <v>-46540.569999999643</v>
      </c>
      <c r="CD57" s="48">
        <f>SUM(CD58:CD60)</f>
        <v>-46540.569999999643</v>
      </c>
      <c r="CE57" s="49">
        <f>SUM(CE58:CE60)</f>
        <v>0</v>
      </c>
      <c r="CF57" s="54">
        <f t="shared" si="134"/>
        <v>14499532.923328714</v>
      </c>
      <c r="CG57" s="48">
        <f>SUM(CG58:CG60)</f>
        <v>14476974.451328715</v>
      </c>
      <c r="CH57" s="571">
        <f>SUM(CH58:CH60)</f>
        <v>22558.472000000009</v>
      </c>
    </row>
    <row r="58" spans="1:86" s="100" customFormat="1">
      <c r="A58" s="108" t="s">
        <v>308</v>
      </c>
      <c r="B58" s="36" t="s">
        <v>218</v>
      </c>
      <c r="C58" s="568">
        <f t="shared" si="0"/>
        <v>0</v>
      </c>
      <c r="D58" s="37">
        <f>D10+D14-D18-D26-D34+D42+D50</f>
        <v>0</v>
      </c>
      <c r="E58" s="38">
        <f t="shared" ref="E58:E59" si="345">E10+E14-E18-E26-E34+E42+E50</f>
        <v>0</v>
      </c>
      <c r="F58" s="39">
        <f t="shared" si="1"/>
        <v>0</v>
      </c>
      <c r="G58" s="37">
        <f>G10+G14-G18-G26-G34+G42+G50</f>
        <v>0</v>
      </c>
      <c r="H58" s="38">
        <f t="shared" ref="H58:H59" si="346">H10+H14-H18-H26-H34+H42+H50</f>
        <v>0</v>
      </c>
      <c r="I58" s="39">
        <f t="shared" si="2"/>
        <v>0</v>
      </c>
      <c r="J58" s="37">
        <f>J10+J14-J18-J26-J34+J42+J50</f>
        <v>0</v>
      </c>
      <c r="K58" s="38">
        <f t="shared" ref="K58:K59" si="347">K10+K14-K18-K26-K34+K42+K50</f>
        <v>0</v>
      </c>
      <c r="L58" s="410">
        <f t="shared" si="3"/>
        <v>0</v>
      </c>
      <c r="M58" s="44">
        <f>D58+G58+J58</f>
        <v>0</v>
      </c>
      <c r="N58" s="569">
        <f t="shared" ref="N58:N60" si="348">E58+H58+K58</f>
        <v>0</v>
      </c>
      <c r="O58" s="39">
        <f t="shared" si="4"/>
        <v>0</v>
      </c>
      <c r="P58" s="37">
        <f>P10+P14-P18-P26-P34+P42+P50</f>
        <v>0</v>
      </c>
      <c r="Q58" s="38">
        <f t="shared" ref="Q58:Q59" si="349">Q10+Q14-Q18-Q26-Q34+Q42+Q50</f>
        <v>0</v>
      </c>
      <c r="R58" s="39">
        <f t="shared" si="5"/>
        <v>0</v>
      </c>
      <c r="S58" s="37">
        <f>S10+S14-S18-S26-S34+S42+S50</f>
        <v>0</v>
      </c>
      <c r="T58" s="38">
        <f t="shared" ref="T58:T59" si="350">T10+T14-T18-T26-T34+T42+T50</f>
        <v>0</v>
      </c>
      <c r="U58" s="39">
        <f t="shared" si="6"/>
        <v>0</v>
      </c>
      <c r="V58" s="37">
        <f>V10+V14-V18-V26-V34+V42+V50</f>
        <v>0</v>
      </c>
      <c r="W58" s="38">
        <f t="shared" ref="W58:W59" si="351">W10+W14-W18-W26-W34+W42+W50</f>
        <v>0</v>
      </c>
      <c r="X58" s="43">
        <f t="shared" si="7"/>
        <v>0</v>
      </c>
      <c r="Y58" s="44">
        <f>P58+S58+V58</f>
        <v>0</v>
      </c>
      <c r="Z58" s="556">
        <f t="shared" ref="Z58:Z60" si="352">Q58+T58+W58</f>
        <v>0</v>
      </c>
      <c r="AA58" s="568">
        <f t="shared" si="8"/>
        <v>0</v>
      </c>
      <c r="AB58" s="37">
        <f>AB10+AB14-AB18-AB26-AB34+AB42+AB50</f>
        <v>0</v>
      </c>
      <c r="AC58" s="38">
        <f t="shared" ref="AC58:AC59" si="353">AC10+AC14-AC18-AC26-AC34+AC42+AC50</f>
        <v>0</v>
      </c>
      <c r="AD58" s="39">
        <f t="shared" si="9"/>
        <v>0</v>
      </c>
      <c r="AE58" s="37">
        <f>AE10+AE14-AE18-AE26-AE34+AE42+AE50</f>
        <v>0</v>
      </c>
      <c r="AF58" s="38">
        <f t="shared" ref="AF58:AF59" si="354">AF10+AF14-AF18-AF26-AF34+AF42+AF50</f>
        <v>0</v>
      </c>
      <c r="AG58" s="39">
        <f t="shared" si="10"/>
        <v>0</v>
      </c>
      <c r="AH58" s="37">
        <f>AH10+AH14-AH18-AH26-AH34+AH42+AH50</f>
        <v>0</v>
      </c>
      <c r="AI58" s="38">
        <f t="shared" ref="AI58:AI59" si="355">AI10+AI14-AI18-AI26-AI34+AI42+AI50</f>
        <v>0</v>
      </c>
      <c r="AJ58" s="43">
        <f t="shared" si="11"/>
        <v>0</v>
      </c>
      <c r="AK58" s="44">
        <f>AB58+AE58+AH58</f>
        <v>0</v>
      </c>
      <c r="AL58" s="569">
        <f t="shared" ref="AL58:AL60" si="356">AC58+AF58+AI58</f>
        <v>0</v>
      </c>
      <c r="AM58" s="39">
        <f t="shared" si="12"/>
        <v>0</v>
      </c>
      <c r="AN58" s="37">
        <f>AN10+AN14-AN18-AN26-AN34+AN42+AN50</f>
        <v>0</v>
      </c>
      <c r="AO58" s="38">
        <f t="shared" ref="AO58:AO59" si="357">AO10+AO14-AO18-AO26-AO34+AO42+AO50</f>
        <v>0</v>
      </c>
      <c r="AP58" s="39">
        <f t="shared" si="13"/>
        <v>0</v>
      </c>
      <c r="AQ58" s="37">
        <f>AQ10+AQ14-AQ18-AQ26-AQ34+AQ42+AQ50</f>
        <v>0</v>
      </c>
      <c r="AR58" s="38">
        <f t="shared" ref="AR58:AR59" si="358">AR10+AR14-AR18-AR26-AR34+AR42+AR50</f>
        <v>0</v>
      </c>
      <c r="AS58" s="39">
        <f t="shared" si="14"/>
        <v>0</v>
      </c>
      <c r="AT58" s="37">
        <f>AT10+AT14-AT18-AT26-AT34+AT42+AT50</f>
        <v>0</v>
      </c>
      <c r="AU58" s="38">
        <f t="shared" ref="AU58:AU59" si="359">AU10+AU14-AU18-AU26-AU34+AU42+AU50</f>
        <v>0</v>
      </c>
      <c r="AV58" s="410">
        <f t="shared" si="15"/>
        <v>0</v>
      </c>
      <c r="AW58" s="44">
        <f>AN58+AQ58+AT58</f>
        <v>0</v>
      </c>
      <c r="AX58" s="556">
        <f t="shared" ref="AX58:AX60" si="360">AO58+AR58+AU58</f>
        <v>0</v>
      </c>
      <c r="AY58" s="568">
        <f t="shared" si="66"/>
        <v>0</v>
      </c>
      <c r="AZ58" s="37">
        <f>AZ10+AZ14-AZ18-AZ26-AZ34+AZ42+AZ50</f>
        <v>0</v>
      </c>
      <c r="BA58" s="38">
        <f t="shared" ref="BA58:BA59" si="361">BA10+BA14-BA18-BA26-BA34+BA42+BA50</f>
        <v>0</v>
      </c>
      <c r="BB58" s="39">
        <f t="shared" si="17"/>
        <v>0</v>
      </c>
      <c r="BC58" s="37">
        <f>BC10+BC14-BC18-BC26-BC34+BC42+BC50</f>
        <v>0</v>
      </c>
      <c r="BD58" s="38">
        <f t="shared" ref="BD58:BD59" si="362">BD10+BD14-BD18-BD26-BD34+BD42+BD50</f>
        <v>0</v>
      </c>
      <c r="BE58" s="39">
        <f t="shared" si="18"/>
        <v>0</v>
      </c>
      <c r="BF58" s="37">
        <f>BF10+BF14-BF18-BF26-BF34+BF42+BF50</f>
        <v>0</v>
      </c>
      <c r="BG58" s="38">
        <f t="shared" ref="BG58:BG59" si="363">BG10+BG14-BG18-BG26-BG34+BG42+BG50</f>
        <v>0</v>
      </c>
      <c r="BH58" s="43">
        <f t="shared" si="19"/>
        <v>0</v>
      </c>
      <c r="BI58" s="44">
        <f>AZ58+BC58+BF58</f>
        <v>0</v>
      </c>
      <c r="BJ58" s="569">
        <f t="shared" ref="BJ58:BJ60" si="364">BA58+BD58+BG58</f>
        <v>0</v>
      </c>
      <c r="BK58" s="568">
        <f t="shared" si="71"/>
        <v>0</v>
      </c>
      <c r="BL58" s="37">
        <f>BL10+BL14-BL18-BL26-BL34+BL42+BL50</f>
        <v>0</v>
      </c>
      <c r="BM58" s="38">
        <f t="shared" ref="BM58:BM59" si="365">BM10+BM14-BM18-BM26-BM34+BM42+BM50</f>
        <v>0</v>
      </c>
      <c r="BN58" s="39">
        <f t="shared" si="21"/>
        <v>0</v>
      </c>
      <c r="BO58" s="37">
        <f>BO10+BO14-BO18-BO26-BO34+BO42+BO50</f>
        <v>0</v>
      </c>
      <c r="BP58" s="38">
        <f t="shared" ref="BP58:BP59" si="366">BP10+BP14-BP18-BP26-BP34+BP42+BP50</f>
        <v>0</v>
      </c>
      <c r="BQ58" s="39">
        <f t="shared" si="22"/>
        <v>0</v>
      </c>
      <c r="BR58" s="37">
        <f>BR10+BR14-BR18-BR26-BR34+BR42+BR50</f>
        <v>0</v>
      </c>
      <c r="BS58" s="38">
        <f t="shared" ref="BS58:BS59" si="367">BS10+BS14-BS18-BS26-BS34+BS42+BS50</f>
        <v>0</v>
      </c>
      <c r="BT58" s="43">
        <f t="shared" si="23"/>
        <v>0</v>
      </c>
      <c r="BU58" s="44">
        <f>BL58+BO58+BR58</f>
        <v>0</v>
      </c>
      <c r="BV58" s="569">
        <f t="shared" ref="BV58:BV60" si="368">BM58+BP58+BS58</f>
        <v>0</v>
      </c>
      <c r="BW58" s="568">
        <f t="shared" si="131"/>
        <v>0</v>
      </c>
      <c r="BX58" s="37">
        <f>BX10+BX14-BX18-BX26-BX34+BX42+BX50</f>
        <v>0</v>
      </c>
      <c r="BY58" s="38">
        <f t="shared" ref="BY58:BY59" si="369">BY10+BY14-BY18-BY26-BY34+BY42+BY50</f>
        <v>0</v>
      </c>
      <c r="BZ58" s="39">
        <f t="shared" si="132"/>
        <v>107447</v>
      </c>
      <c r="CA58" s="37">
        <f>CA10+CA14-CA18-CA26-CA34+CA42+CA50</f>
        <v>107447</v>
      </c>
      <c r="CB58" s="38">
        <f t="shared" ref="CB58:CB59" si="370">CB10+CB14-CB18-CB26-CB34+CB42+CB50</f>
        <v>0</v>
      </c>
      <c r="CC58" s="39">
        <f t="shared" si="133"/>
        <v>-54591</v>
      </c>
      <c r="CD58" s="37">
        <f>CD10+CD14-CD18-CD26-CD34+CD42+CD50</f>
        <v>-54591</v>
      </c>
      <c r="CE58" s="38">
        <f t="shared" ref="CE58:CE59" si="371">CE10+CE14-CE18-CE26-CE34+CE42+CE50</f>
        <v>0</v>
      </c>
      <c r="CF58" s="43">
        <f t="shared" si="134"/>
        <v>52856</v>
      </c>
      <c r="CG58" s="44">
        <f>BX58+CA58+CD58</f>
        <v>52856</v>
      </c>
      <c r="CH58" s="569">
        <f t="shared" ref="CH58:CH60" si="372">BY58+CB58+CE58</f>
        <v>0</v>
      </c>
    </row>
    <row r="59" spans="1:86" s="100" customFormat="1">
      <c r="A59" s="108" t="s">
        <v>309</v>
      </c>
      <c r="B59" s="45" t="s">
        <v>216</v>
      </c>
      <c r="C59" s="568">
        <f t="shared" si="0"/>
        <v>0</v>
      </c>
      <c r="D59" s="37">
        <f>D11+D15-D19-D27-D35+D43+D51</f>
        <v>0</v>
      </c>
      <c r="E59" s="38">
        <f t="shared" si="345"/>
        <v>0</v>
      </c>
      <c r="F59" s="39">
        <f t="shared" si="1"/>
        <v>3945000.4299999997</v>
      </c>
      <c r="G59" s="37">
        <f>G11+G15-G19-G27-G35+G43+G51</f>
        <v>3940050.92</v>
      </c>
      <c r="H59" s="38">
        <f t="shared" si="346"/>
        <v>4949.51</v>
      </c>
      <c r="I59" s="39">
        <f t="shared" si="2"/>
        <v>299674.2</v>
      </c>
      <c r="J59" s="37">
        <f>J11+J15-J19-J27-J35+J43+J51</f>
        <v>299674.2</v>
      </c>
      <c r="K59" s="38">
        <f t="shared" si="347"/>
        <v>0</v>
      </c>
      <c r="L59" s="410">
        <f t="shared" si="3"/>
        <v>4244674.63</v>
      </c>
      <c r="M59" s="44">
        <f t="shared" ref="M59:M60" si="373">D59+G59+J59</f>
        <v>4239725.12</v>
      </c>
      <c r="N59" s="569">
        <f t="shared" si="348"/>
        <v>4949.51</v>
      </c>
      <c r="O59" s="39">
        <f t="shared" si="4"/>
        <v>0</v>
      </c>
      <c r="P59" s="37">
        <f>P11+P15-P19-P27-P35+P43+P51</f>
        <v>0</v>
      </c>
      <c r="Q59" s="38">
        <f t="shared" si="349"/>
        <v>0</v>
      </c>
      <c r="R59" s="39">
        <f t="shared" si="5"/>
        <v>4174754.43</v>
      </c>
      <c r="S59" s="37">
        <f>S11+S15-S19-S27-S35+S43+S51</f>
        <v>4170065.41</v>
      </c>
      <c r="T59" s="38">
        <f t="shared" si="350"/>
        <v>4689.0200000000004</v>
      </c>
      <c r="U59" s="39">
        <f t="shared" si="6"/>
        <v>898234.2</v>
      </c>
      <c r="V59" s="37">
        <f>V11+V15-V19-V27-V35+V43+V51</f>
        <v>898234.2</v>
      </c>
      <c r="W59" s="38">
        <f t="shared" si="351"/>
        <v>0</v>
      </c>
      <c r="X59" s="43">
        <f t="shared" si="7"/>
        <v>5072988.63</v>
      </c>
      <c r="Y59" s="44">
        <f t="shared" ref="Y59:Y60" si="374">P59+S59+V59</f>
        <v>5068299.6100000003</v>
      </c>
      <c r="Z59" s="556">
        <f t="shared" si="352"/>
        <v>4689.0200000000004</v>
      </c>
      <c r="AA59" s="568">
        <f t="shared" si="8"/>
        <v>0</v>
      </c>
      <c r="AB59" s="37">
        <f>AB11+AB15-AB19-AB27-AB35+AB43+AB51</f>
        <v>0</v>
      </c>
      <c r="AC59" s="38">
        <f t="shared" si="353"/>
        <v>0</v>
      </c>
      <c r="AD59" s="39">
        <f t="shared" si="9"/>
        <v>6978880.4300000006</v>
      </c>
      <c r="AE59" s="37">
        <f>AE11+AE15-AE19-AE27-AE35+AE43+AE51</f>
        <v>6974451.9000000004</v>
      </c>
      <c r="AF59" s="38">
        <f t="shared" si="354"/>
        <v>4428.5300000000007</v>
      </c>
      <c r="AG59" s="39">
        <f t="shared" si="10"/>
        <v>0.20000000018626451</v>
      </c>
      <c r="AH59" s="37">
        <f>AH11+AH15-AH19-AH27-AH35+AH43+AH51</f>
        <v>0.20000000018626451</v>
      </c>
      <c r="AI59" s="38">
        <f t="shared" si="355"/>
        <v>0</v>
      </c>
      <c r="AJ59" s="43">
        <f t="shared" si="11"/>
        <v>6978880.6300000008</v>
      </c>
      <c r="AK59" s="44">
        <f t="shared" ref="AK59:AK60" si="375">AB59+AE59+AH59</f>
        <v>6974452.1000000006</v>
      </c>
      <c r="AL59" s="569">
        <f t="shared" si="356"/>
        <v>4428.5300000000007</v>
      </c>
      <c r="AM59" s="39">
        <f t="shared" si="12"/>
        <v>0</v>
      </c>
      <c r="AN59" s="37">
        <f>AN11+AN15-AN19-AN27-AN35+AN43+AN51</f>
        <v>0</v>
      </c>
      <c r="AO59" s="38">
        <f t="shared" si="357"/>
        <v>0</v>
      </c>
      <c r="AP59" s="39">
        <f t="shared" si="13"/>
        <v>7074022.4300000006</v>
      </c>
      <c r="AQ59" s="37">
        <f>AQ11+AQ15-AQ19-AQ27-AQ35+AQ43+AQ51</f>
        <v>7060946.2000000002</v>
      </c>
      <c r="AR59" s="38">
        <f t="shared" si="358"/>
        <v>13076.230000000001</v>
      </c>
      <c r="AS59" s="39">
        <f t="shared" si="14"/>
        <v>0.20000000018626451</v>
      </c>
      <c r="AT59" s="37">
        <f>AT11+AT15-AT19-AT27-AT35+AT43+AT51</f>
        <v>0.20000000018626451</v>
      </c>
      <c r="AU59" s="38">
        <f t="shared" si="359"/>
        <v>0</v>
      </c>
      <c r="AV59" s="410">
        <f t="shared" si="15"/>
        <v>7074022.6300000008</v>
      </c>
      <c r="AW59" s="44">
        <f t="shared" ref="AW59:AW60" si="376">AN59+AQ59+AT59</f>
        <v>7060946.4000000004</v>
      </c>
      <c r="AX59" s="556">
        <f t="shared" si="360"/>
        <v>13076.230000000001</v>
      </c>
      <c r="AY59" s="568">
        <f t="shared" si="66"/>
        <v>0</v>
      </c>
      <c r="AZ59" s="37">
        <f>AZ11+AZ15-AZ19-AZ27-AZ35+AZ43+AZ51</f>
        <v>0</v>
      </c>
      <c r="BA59" s="38">
        <f t="shared" si="361"/>
        <v>0</v>
      </c>
      <c r="BB59" s="39">
        <f t="shared" si="17"/>
        <v>6814172.4299999997</v>
      </c>
      <c r="BC59" s="37">
        <f>BC11+BC15-BC19-BC27-BC35+BC43+BC51</f>
        <v>6801661.25</v>
      </c>
      <c r="BD59" s="38">
        <f t="shared" si="362"/>
        <v>12511.180000000002</v>
      </c>
      <c r="BE59" s="39">
        <f t="shared" si="18"/>
        <v>0.20000000018626451</v>
      </c>
      <c r="BF59" s="37">
        <f>BF11+BF15-BF19-BF27-BF35+BF43+BF51</f>
        <v>0.20000000018626451</v>
      </c>
      <c r="BG59" s="38">
        <f t="shared" si="363"/>
        <v>0</v>
      </c>
      <c r="BH59" s="43">
        <f t="shared" si="19"/>
        <v>6814172.6299999999</v>
      </c>
      <c r="BI59" s="44">
        <f t="shared" ref="BI59:BI60" si="377">AZ59+BC59+BF59</f>
        <v>6801661.4500000002</v>
      </c>
      <c r="BJ59" s="569">
        <f t="shared" si="364"/>
        <v>12511.180000000002</v>
      </c>
      <c r="BK59" s="568">
        <f t="shared" si="71"/>
        <v>0</v>
      </c>
      <c r="BL59" s="37">
        <f>BL11+BL15-BL19-BL27-BL35+BL43+BL51</f>
        <v>0</v>
      </c>
      <c r="BM59" s="38">
        <f t="shared" si="365"/>
        <v>0</v>
      </c>
      <c r="BN59" s="39">
        <f t="shared" si="21"/>
        <v>6554322.4299999997</v>
      </c>
      <c r="BO59" s="37">
        <f>BO11+BO15-BO19-BO27-BO35+BO43+BO51</f>
        <v>6542376.2999999998</v>
      </c>
      <c r="BP59" s="38">
        <f t="shared" si="366"/>
        <v>11946.130000000003</v>
      </c>
      <c r="BQ59" s="39">
        <f t="shared" si="22"/>
        <v>0.20000000018626451</v>
      </c>
      <c r="BR59" s="37">
        <f>BR11+BR15-BR19-BR27-BR35+BR43+BR51</f>
        <v>0.20000000018626451</v>
      </c>
      <c r="BS59" s="38">
        <f t="shared" si="367"/>
        <v>0</v>
      </c>
      <c r="BT59" s="43">
        <f t="shared" si="23"/>
        <v>6554322.6299999999</v>
      </c>
      <c r="BU59" s="44">
        <f t="shared" ref="BU59:BU60" si="378">BL59+BO59+BR59</f>
        <v>6542376.5</v>
      </c>
      <c r="BV59" s="569">
        <f t="shared" si="368"/>
        <v>11946.130000000003</v>
      </c>
      <c r="BW59" s="568">
        <f t="shared" si="131"/>
        <v>0</v>
      </c>
      <c r="BX59" s="37">
        <f>BX11+BX15-BX19-BX27-BX35+BX43+BX51</f>
        <v>0</v>
      </c>
      <c r="BY59" s="38">
        <f t="shared" si="369"/>
        <v>0</v>
      </c>
      <c r="BZ59" s="39">
        <f t="shared" si="132"/>
        <v>6294472.4299999997</v>
      </c>
      <c r="CA59" s="37">
        <f>CA11+CA15-CA19-CA27-CA35+CA43+CA51</f>
        <v>6283091.3499999996</v>
      </c>
      <c r="CB59" s="38">
        <f t="shared" si="370"/>
        <v>11381.080000000004</v>
      </c>
      <c r="CC59" s="39">
        <f t="shared" si="133"/>
        <v>1.8626450382086546E-10</v>
      </c>
      <c r="CD59" s="37">
        <f>CD11+CD15-CD19-CD27-CD35+CD43+CD51</f>
        <v>1.8626450382086546E-10</v>
      </c>
      <c r="CE59" s="38">
        <f t="shared" si="371"/>
        <v>0</v>
      </c>
      <c r="CF59" s="43">
        <f t="shared" si="134"/>
        <v>6294472.4299999997</v>
      </c>
      <c r="CG59" s="44">
        <f t="shared" ref="CG59:CG60" si="379">BX59+CA59+CD59</f>
        <v>6283091.3499999996</v>
      </c>
      <c r="CH59" s="569">
        <f t="shared" si="372"/>
        <v>11381.080000000004</v>
      </c>
    </row>
    <row r="60" spans="1:86" s="100" customFormat="1" ht="14.4" thickBot="1">
      <c r="A60" s="110" t="s">
        <v>310</v>
      </c>
      <c r="B60" s="56" t="s">
        <v>217</v>
      </c>
      <c r="C60" s="572">
        <f t="shared" si="0"/>
        <v>86577</v>
      </c>
      <c r="D60" s="57">
        <f>D12+D16-D20-D28-D36+D44+D52</f>
        <v>86563.038</v>
      </c>
      <c r="E60" s="58">
        <f>E12+E16-E20-E28-E36+E44+E52</f>
        <v>13.962000000000002</v>
      </c>
      <c r="F60" s="59">
        <f t="shared" si="1"/>
        <v>1451067.9100000001</v>
      </c>
      <c r="G60" s="57">
        <f>G12+G16-G20-G28-G36+G44+G52</f>
        <v>1449496.62</v>
      </c>
      <c r="H60" s="58">
        <f>H12+H16-H20-H28-H36+H44+H52</f>
        <v>1571.29</v>
      </c>
      <c r="I60" s="59">
        <f t="shared" si="2"/>
        <v>279776.79000000004</v>
      </c>
      <c r="J60" s="57">
        <f>J12+J16-J20-J28-J36+J44+J52</f>
        <v>279776.79000000004</v>
      </c>
      <c r="K60" s="58">
        <f>K12+K16-K20-K28-K36+K44+K52</f>
        <v>0</v>
      </c>
      <c r="L60" s="412">
        <f t="shared" si="3"/>
        <v>1817421.7000000002</v>
      </c>
      <c r="M60" s="64">
        <f t="shared" si="373"/>
        <v>1815836.4480000001</v>
      </c>
      <c r="N60" s="573">
        <f t="shared" si="348"/>
        <v>1585.252</v>
      </c>
      <c r="O60" s="59">
        <f t="shared" si="4"/>
        <v>96647</v>
      </c>
      <c r="P60" s="57">
        <f>P12+P16-P20-P28-P36+P44+P52</f>
        <v>96633.038</v>
      </c>
      <c r="Q60" s="58">
        <f>Q12+Q16-Q20-Q28-Q36+Q44+Q52</f>
        <v>13.962000000000002</v>
      </c>
      <c r="R60" s="59">
        <f t="shared" si="5"/>
        <v>2046977.9100000001</v>
      </c>
      <c r="S60" s="57">
        <f>S12+S16-S20-S28-S36+S44+S52</f>
        <v>2029989.33</v>
      </c>
      <c r="T60" s="58">
        <f>T12+T16-T20-T28-T36+T44+T52</f>
        <v>16988.580000000002</v>
      </c>
      <c r="U60" s="59">
        <f t="shared" si="6"/>
        <v>457221.79000000004</v>
      </c>
      <c r="V60" s="57">
        <f>V12+V16-V20-V28-V36+V44+V52</f>
        <v>457221.79000000004</v>
      </c>
      <c r="W60" s="58">
        <f>W12+W16-W20-W28-W36+W44+W52</f>
        <v>0</v>
      </c>
      <c r="X60" s="63">
        <f t="shared" si="7"/>
        <v>2600846.7000000002</v>
      </c>
      <c r="Y60" s="64">
        <f t="shared" si="374"/>
        <v>2583844.1580000003</v>
      </c>
      <c r="Z60" s="558">
        <f t="shared" si="352"/>
        <v>17002.542000000001</v>
      </c>
      <c r="AA60" s="572">
        <f t="shared" si="8"/>
        <v>96817</v>
      </c>
      <c r="AB60" s="57">
        <f>AB12+AB16-AB20-AB28-AB36+AB44+AB52</f>
        <v>96803.038</v>
      </c>
      <c r="AC60" s="58">
        <f>AC12+AC16-AC20-AC28-AC36+AC44+AC52</f>
        <v>13.962000000000002</v>
      </c>
      <c r="AD60" s="59">
        <f t="shared" si="9"/>
        <v>3777941.91</v>
      </c>
      <c r="AE60" s="57">
        <f>AE12+AE16-AE20-AE28-AE36+AE44+AE52</f>
        <v>3762626.04</v>
      </c>
      <c r="AF60" s="58">
        <f>AF12+AF16-AF20-AF28-AF36+AF44+AF52</f>
        <v>15315.870000000003</v>
      </c>
      <c r="AG60" s="59">
        <f t="shared" si="10"/>
        <v>633390.79</v>
      </c>
      <c r="AH60" s="57">
        <f>AH12+AH16-AH20-AH28-AH36+AH44+AH52</f>
        <v>633390.79</v>
      </c>
      <c r="AI60" s="58">
        <f>AI12+AI16-AI20-AI28-AI36+AI44+AI52</f>
        <v>0</v>
      </c>
      <c r="AJ60" s="63">
        <f t="shared" si="11"/>
        <v>4508149.7000000011</v>
      </c>
      <c r="AK60" s="64">
        <f t="shared" si="375"/>
        <v>4492819.8680000007</v>
      </c>
      <c r="AL60" s="573">
        <f t="shared" si="356"/>
        <v>15329.832000000002</v>
      </c>
      <c r="AM60" s="59">
        <f t="shared" si="12"/>
        <v>96817</v>
      </c>
      <c r="AN60" s="57">
        <f>AN12+AN16-AN20-AN28-AN36+AN44+AN52</f>
        <v>96803.038</v>
      </c>
      <c r="AO60" s="58">
        <f>AO12+AO16-AO20-AO28-AO36+AO44+AO52</f>
        <v>13.962000000000002</v>
      </c>
      <c r="AP60" s="59">
        <f t="shared" si="13"/>
        <v>4584988.91</v>
      </c>
      <c r="AQ60" s="57">
        <f>AQ12+AQ16-AQ20-AQ28-AQ36+AQ44+AQ52</f>
        <v>4568517.25</v>
      </c>
      <c r="AR60" s="58">
        <f>AR12+AR16-AR20-AR28-AR36+AR44+AR52</f>
        <v>16471.660000000003</v>
      </c>
      <c r="AS60" s="59">
        <f t="shared" si="14"/>
        <v>1086579.79</v>
      </c>
      <c r="AT60" s="57">
        <f>AT12+AT16-AT20-AT28-AT36+AT44+AT52</f>
        <v>1086579.79</v>
      </c>
      <c r="AU60" s="58">
        <f>AU12+AU16-AU20-AU28-AU36+AU44+AU52</f>
        <v>0</v>
      </c>
      <c r="AV60" s="412">
        <f t="shared" si="15"/>
        <v>5768385.7000000002</v>
      </c>
      <c r="AW60" s="64">
        <f t="shared" si="376"/>
        <v>5751900.0779999997</v>
      </c>
      <c r="AX60" s="558">
        <f t="shared" si="360"/>
        <v>16485.622000000003</v>
      </c>
      <c r="AY60" s="572">
        <f t="shared" si="66"/>
        <v>96207</v>
      </c>
      <c r="AZ60" s="57">
        <f>AZ12+AZ16-AZ20-AZ28-AZ36+AZ44+AZ52</f>
        <v>96193.038</v>
      </c>
      <c r="BA60" s="58">
        <f>BA12+BA16-BA20-BA28-BA36+BA44+BA52</f>
        <v>13.962000000000002</v>
      </c>
      <c r="BB60" s="59">
        <f t="shared" si="17"/>
        <v>4548004.91</v>
      </c>
      <c r="BC60" s="57">
        <f>BC12+BC16-BC20-BC28-BC36+BC44+BC52</f>
        <v>4533302.66</v>
      </c>
      <c r="BD60" s="58">
        <f>BD12+BD16-BD20-BD28-BD36+BD44+BD52</f>
        <v>14702.250000000004</v>
      </c>
      <c r="BE60" s="59">
        <f t="shared" si="18"/>
        <v>1622949.79</v>
      </c>
      <c r="BF60" s="57">
        <f>BF12+BF16-BF20-BF28-BF36+BF44+BF52</f>
        <v>1622949.79</v>
      </c>
      <c r="BG60" s="58">
        <f>BG12+BG16-BG20-BG28-BG36+BG44+BG52</f>
        <v>0</v>
      </c>
      <c r="BH60" s="63">
        <f t="shared" si="19"/>
        <v>6267161.7000000002</v>
      </c>
      <c r="BI60" s="64">
        <f t="shared" si="377"/>
        <v>6252445.4879999999</v>
      </c>
      <c r="BJ60" s="573">
        <f t="shared" si="364"/>
        <v>14716.212000000003</v>
      </c>
      <c r="BK60" s="572">
        <f t="shared" si="71"/>
        <v>96207</v>
      </c>
      <c r="BL60" s="57">
        <f>BL12+BL16-BL20-BL28-BL36+BL44+BL52</f>
        <v>96193.038</v>
      </c>
      <c r="BM60" s="58">
        <f>BM12+BM16-BM20-BM28-BM36+BM44+BM52</f>
        <v>13.962000000000002</v>
      </c>
      <c r="BN60" s="59">
        <f t="shared" si="21"/>
        <v>4383384.1500000004</v>
      </c>
      <c r="BO60" s="57">
        <f>BO12+BO16-BO20-BO28-BO36+BO44+BO52</f>
        <v>4370451.3100000005</v>
      </c>
      <c r="BP60" s="58">
        <f>BP12+BP16-BP20-BP28-BP36+BP44+BP52</f>
        <v>12932.840000000004</v>
      </c>
      <c r="BQ60" s="59">
        <f t="shared" si="22"/>
        <v>2118116.4300000002</v>
      </c>
      <c r="BR60" s="57">
        <f>BR12+BR16-BR20-BR28-BR36+BR44+BR52</f>
        <v>2118116.4300000002</v>
      </c>
      <c r="BS60" s="58">
        <f>BS12+BS16-BS20-BS28-BS36+BS44+BS52</f>
        <v>0</v>
      </c>
      <c r="BT60" s="63">
        <f t="shared" si="23"/>
        <v>6597707.580000001</v>
      </c>
      <c r="BU60" s="64">
        <f t="shared" si="378"/>
        <v>6584760.7780000009</v>
      </c>
      <c r="BV60" s="573">
        <f t="shared" si="368"/>
        <v>12946.802000000003</v>
      </c>
      <c r="BW60" s="572">
        <f t="shared" si="131"/>
        <v>96207</v>
      </c>
      <c r="BX60" s="57">
        <f>BX12+BX16-BX20-BX28-BX36+BX44+BX52</f>
        <v>96193.038</v>
      </c>
      <c r="BY60" s="58">
        <f>BY12+BY16-BY20-BY28-BY36+BY44+BY52</f>
        <v>13.962000000000002</v>
      </c>
      <c r="BZ60" s="59">
        <f t="shared" si="132"/>
        <v>8047947.063328715</v>
      </c>
      <c r="CA60" s="57">
        <f>CA12+CA16-CA20-CA28-CA36+CA44+CA52</f>
        <v>8036783.6333287153</v>
      </c>
      <c r="CB60" s="58">
        <f>CB12+CB16-CB20-CB28-CB36+CB44+CB52</f>
        <v>11163.430000000004</v>
      </c>
      <c r="CC60" s="59">
        <f t="shared" si="133"/>
        <v>8050.4300000001676</v>
      </c>
      <c r="CD60" s="57">
        <f>CD12+CD16-CD20-CD28-CD36+CD44+CD52</f>
        <v>8050.4300000001676</v>
      </c>
      <c r="CE60" s="58">
        <f>CE12+CE16-CE20-CE28-CE36+CE44+CE52</f>
        <v>0</v>
      </c>
      <c r="CF60" s="63">
        <f t="shared" si="134"/>
        <v>8152204.4933287157</v>
      </c>
      <c r="CG60" s="1076">
        <f t="shared" si="379"/>
        <v>8141027.1013287157</v>
      </c>
      <c r="CH60" s="573">
        <f t="shared" si="372"/>
        <v>11177.392000000003</v>
      </c>
    </row>
    <row r="61" spans="1:86" s="68" customFormat="1" ht="14.4" thickBot="1">
      <c r="A61" s="119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V61" s="101"/>
      <c r="AW61" s="101"/>
      <c r="AX61" s="101"/>
      <c r="BH61" s="101"/>
      <c r="BI61" s="101"/>
      <c r="BJ61" s="101"/>
      <c r="BT61" s="101"/>
      <c r="BU61" s="101"/>
      <c r="BV61" s="101"/>
      <c r="CC61" s="1614"/>
      <c r="CD61" s="1614"/>
      <c r="CE61" s="1614"/>
      <c r="CF61" s="101"/>
      <c r="CG61" s="101"/>
      <c r="CH61" s="101"/>
    </row>
    <row r="62" spans="1:86" s="102" customFormat="1" ht="13.2">
      <c r="A62" s="128">
        <v>15</v>
      </c>
      <c r="B62" s="131" t="s">
        <v>112</v>
      </c>
      <c r="C62" s="591"/>
      <c r="D62" s="136"/>
      <c r="E62" s="137"/>
      <c r="F62" s="597"/>
      <c r="G62" s="137"/>
      <c r="H62" s="136"/>
      <c r="I62" s="137"/>
      <c r="J62" s="137"/>
      <c r="K62" s="137"/>
      <c r="L62" s="136"/>
      <c r="M62" s="136"/>
      <c r="N62" s="592"/>
      <c r="O62" s="614"/>
      <c r="P62" s="136"/>
      <c r="Q62" s="137"/>
      <c r="R62" s="597"/>
      <c r="S62" s="137"/>
      <c r="T62" s="136"/>
      <c r="U62" s="137"/>
      <c r="V62" s="137"/>
      <c r="W62" s="137"/>
      <c r="X62" s="136"/>
      <c r="Y62" s="136"/>
      <c r="Z62" s="588"/>
      <c r="AA62" s="591"/>
      <c r="AB62" s="136"/>
      <c r="AC62" s="137"/>
      <c r="AD62" s="597"/>
      <c r="AE62" s="137"/>
      <c r="AF62" s="136"/>
      <c r="AG62" s="137"/>
      <c r="AH62" s="137"/>
      <c r="AI62" s="137"/>
      <c r="AJ62" s="136"/>
      <c r="AK62" s="136"/>
      <c r="AL62" s="592"/>
      <c r="AM62" s="614"/>
      <c r="AN62" s="136"/>
      <c r="AO62" s="137"/>
      <c r="AP62" s="597"/>
      <c r="AQ62" s="137"/>
      <c r="AR62" s="136"/>
      <c r="AS62" s="137"/>
      <c r="AT62" s="137"/>
      <c r="AU62" s="137"/>
      <c r="AV62" s="136"/>
      <c r="AW62" s="136"/>
      <c r="AX62" s="588"/>
      <c r="AY62" s="591"/>
      <c r="AZ62" s="136"/>
      <c r="BA62" s="137"/>
      <c r="BB62" s="597"/>
      <c r="BC62" s="137"/>
      <c r="BD62" s="136"/>
      <c r="BE62" s="137"/>
      <c r="BF62" s="137"/>
      <c r="BG62" s="137"/>
      <c r="BH62" s="136"/>
      <c r="BI62" s="136"/>
      <c r="BJ62" s="592"/>
      <c r="BK62" s="591"/>
      <c r="BL62" s="136"/>
      <c r="BM62" s="137"/>
      <c r="BN62" s="597"/>
      <c r="BO62" s="137"/>
      <c r="BP62" s="136"/>
      <c r="BQ62" s="137"/>
      <c r="BR62" s="137"/>
      <c r="BS62" s="137"/>
      <c r="BT62" s="136"/>
      <c r="BU62" s="136"/>
      <c r="BV62" s="592"/>
      <c r="BW62" s="591"/>
      <c r="BX62" s="136"/>
      <c r="BY62" s="137"/>
      <c r="BZ62" s="597"/>
      <c r="CA62" s="137"/>
      <c r="CB62" s="136"/>
      <c r="CC62" s="137"/>
      <c r="CD62" s="137"/>
      <c r="CE62" s="137"/>
      <c r="CF62" s="136"/>
      <c r="CG62" s="136"/>
      <c r="CH62" s="592"/>
    </row>
    <row r="63" spans="1:86" s="102" customFormat="1" ht="13.2">
      <c r="A63" s="120" t="s">
        <v>311</v>
      </c>
      <c r="B63" s="103" t="s">
        <v>359</v>
      </c>
      <c r="C63" s="593"/>
      <c r="D63" s="138"/>
      <c r="E63" s="138"/>
      <c r="F63" s="148">
        <v>2.5000000000000001E-2</v>
      </c>
      <c r="G63" s="138"/>
      <c r="H63" s="138"/>
      <c r="I63" s="138"/>
      <c r="J63" s="138"/>
      <c r="K63" s="138"/>
      <c r="L63" s="138"/>
      <c r="M63" s="138"/>
      <c r="N63" s="594"/>
      <c r="O63" s="615"/>
      <c r="P63" s="138"/>
      <c r="Q63" s="138"/>
      <c r="R63" s="148">
        <v>2.5000000000000001E-2</v>
      </c>
      <c r="S63" s="138"/>
      <c r="T63" s="138"/>
      <c r="U63" s="138"/>
      <c r="V63" s="138"/>
      <c r="W63" s="138"/>
      <c r="X63" s="138"/>
      <c r="Y63" s="138"/>
      <c r="Z63" s="589"/>
      <c r="AA63" s="593"/>
      <c r="AB63" s="138"/>
      <c r="AC63" s="138"/>
      <c r="AD63" s="148">
        <v>2.5000000000000001E-2</v>
      </c>
      <c r="AE63" s="138"/>
      <c r="AF63" s="138"/>
      <c r="AG63" s="138"/>
      <c r="AH63" s="138"/>
      <c r="AI63" s="138"/>
      <c r="AJ63" s="138"/>
      <c r="AK63" s="138"/>
      <c r="AL63" s="594"/>
      <c r="AM63" s="615"/>
      <c r="AN63" s="138"/>
      <c r="AO63" s="138"/>
      <c r="AP63" s="148">
        <v>2.5000000000000001E-2</v>
      </c>
      <c r="AQ63" s="138"/>
      <c r="AR63" s="138"/>
      <c r="AS63" s="138"/>
      <c r="AT63" s="138"/>
      <c r="AU63" s="138"/>
      <c r="AV63" s="138"/>
      <c r="AW63" s="138"/>
      <c r="AX63" s="589"/>
      <c r="AY63" s="593"/>
      <c r="AZ63" s="138"/>
      <c r="BA63" s="138"/>
      <c r="BB63" s="148">
        <v>2.5000000000000001E-2</v>
      </c>
      <c r="BC63" s="138"/>
      <c r="BD63" s="138"/>
      <c r="BE63" s="138"/>
      <c r="BF63" s="138"/>
      <c r="BG63" s="138"/>
      <c r="BH63" s="138"/>
      <c r="BI63" s="138"/>
      <c r="BJ63" s="594"/>
      <c r="BK63" s="593"/>
      <c r="BL63" s="138"/>
      <c r="BM63" s="138"/>
      <c r="BN63" s="148">
        <v>2.5000000000000001E-2</v>
      </c>
      <c r="BO63" s="138"/>
      <c r="BP63" s="138"/>
      <c r="BQ63" s="138"/>
      <c r="BR63" s="138"/>
      <c r="BS63" s="138"/>
      <c r="BT63" s="138"/>
      <c r="BU63" s="138"/>
      <c r="BV63" s="594"/>
      <c r="BW63" s="593"/>
      <c r="BX63" s="138"/>
      <c r="BY63" s="138"/>
      <c r="BZ63" s="148">
        <v>2.5000000000000001E-2</v>
      </c>
      <c r="CA63" s="138"/>
      <c r="CB63" s="138"/>
      <c r="CC63" s="138"/>
      <c r="CD63" s="138"/>
      <c r="CE63" s="138"/>
      <c r="CF63" s="138"/>
      <c r="CG63" s="138"/>
      <c r="CH63" s="594"/>
    </row>
    <row r="64" spans="1:86" s="102" customFormat="1" ht="13.2">
      <c r="A64" s="120" t="s">
        <v>312</v>
      </c>
      <c r="B64" s="103" t="s">
        <v>127</v>
      </c>
      <c r="C64" s="593"/>
      <c r="D64" s="138"/>
      <c r="E64" s="138"/>
      <c r="F64" s="148">
        <v>2.5000000000000001E-2</v>
      </c>
      <c r="G64" s="138"/>
      <c r="H64" s="138"/>
      <c r="I64" s="138"/>
      <c r="J64" s="138"/>
      <c r="K64" s="138"/>
      <c r="L64" s="138"/>
      <c r="M64" s="138"/>
      <c r="N64" s="594"/>
      <c r="O64" s="615"/>
      <c r="P64" s="138"/>
      <c r="Q64" s="138"/>
      <c r="R64" s="148">
        <v>2.5000000000000001E-2</v>
      </c>
      <c r="S64" s="138"/>
      <c r="T64" s="138"/>
      <c r="U64" s="138"/>
      <c r="V64" s="138"/>
      <c r="W64" s="138"/>
      <c r="X64" s="138"/>
      <c r="Y64" s="138"/>
      <c r="Z64" s="589"/>
      <c r="AA64" s="593"/>
      <c r="AB64" s="138"/>
      <c r="AC64" s="138"/>
      <c r="AD64" s="148">
        <v>2.5000000000000001E-2</v>
      </c>
      <c r="AE64" s="138"/>
      <c r="AF64" s="138"/>
      <c r="AG64" s="138"/>
      <c r="AH64" s="138"/>
      <c r="AI64" s="138"/>
      <c r="AJ64" s="138"/>
      <c r="AK64" s="138"/>
      <c r="AL64" s="594"/>
      <c r="AM64" s="615"/>
      <c r="AN64" s="138"/>
      <c r="AO64" s="138"/>
      <c r="AP64" s="148">
        <v>2.5000000000000001E-2</v>
      </c>
      <c r="AQ64" s="138"/>
      <c r="AR64" s="138"/>
      <c r="AS64" s="138"/>
      <c r="AT64" s="138"/>
      <c r="AU64" s="138"/>
      <c r="AV64" s="138"/>
      <c r="AW64" s="138"/>
      <c r="AX64" s="589"/>
      <c r="AY64" s="593"/>
      <c r="AZ64" s="138"/>
      <c r="BA64" s="138"/>
      <c r="BB64" s="148">
        <v>2.5000000000000001E-2</v>
      </c>
      <c r="BC64" s="138"/>
      <c r="BD64" s="138"/>
      <c r="BE64" s="138"/>
      <c r="BF64" s="138"/>
      <c r="BG64" s="138"/>
      <c r="BH64" s="138"/>
      <c r="BI64" s="138"/>
      <c r="BJ64" s="594"/>
      <c r="BK64" s="593"/>
      <c r="BL64" s="138"/>
      <c r="BM64" s="138"/>
      <c r="BN64" s="148">
        <v>2.5000000000000001E-2</v>
      </c>
      <c r="BO64" s="138"/>
      <c r="BP64" s="138"/>
      <c r="BQ64" s="138"/>
      <c r="BR64" s="138"/>
      <c r="BS64" s="138"/>
      <c r="BT64" s="138"/>
      <c r="BU64" s="138"/>
      <c r="BV64" s="594"/>
      <c r="BW64" s="593"/>
      <c r="BX64" s="138"/>
      <c r="BY64" s="138"/>
      <c r="BZ64" s="148">
        <v>2.5000000000000001E-2</v>
      </c>
      <c r="CA64" s="138"/>
      <c r="CB64" s="138"/>
      <c r="CC64" s="138"/>
      <c r="CD64" s="138"/>
      <c r="CE64" s="138"/>
      <c r="CF64" s="138"/>
      <c r="CG64" s="138"/>
      <c r="CH64" s="594"/>
    </row>
    <row r="65" spans="1:86" s="102" customFormat="1" ht="13.2">
      <c r="A65" s="120" t="s">
        <v>313</v>
      </c>
      <c r="B65" s="103" t="s">
        <v>128</v>
      </c>
      <c r="C65" s="593"/>
      <c r="D65" s="138"/>
      <c r="E65" s="138"/>
      <c r="F65" s="148" t="s">
        <v>694</v>
      </c>
      <c r="G65" s="138"/>
      <c r="H65" s="138"/>
      <c r="I65" s="138"/>
      <c r="J65" s="138"/>
      <c r="K65" s="138"/>
      <c r="L65" s="138"/>
      <c r="M65" s="138"/>
      <c r="N65" s="594"/>
      <c r="O65" s="615"/>
      <c r="P65" s="138"/>
      <c r="Q65" s="138"/>
      <c r="R65" s="148" t="s">
        <v>694</v>
      </c>
      <c r="S65" s="138"/>
      <c r="T65" s="138"/>
      <c r="U65" s="138"/>
      <c r="V65" s="138"/>
      <c r="W65" s="138"/>
      <c r="X65" s="138"/>
      <c r="Y65" s="138"/>
      <c r="Z65" s="589"/>
      <c r="AA65" s="593"/>
      <c r="AB65" s="138"/>
      <c r="AC65" s="138"/>
      <c r="AD65" s="148" t="s">
        <v>694</v>
      </c>
      <c r="AE65" s="138"/>
      <c r="AF65" s="138"/>
      <c r="AG65" s="138"/>
      <c r="AH65" s="138"/>
      <c r="AI65" s="138"/>
      <c r="AJ65" s="138"/>
      <c r="AK65" s="138"/>
      <c r="AL65" s="594"/>
      <c r="AM65" s="615"/>
      <c r="AN65" s="138"/>
      <c r="AO65" s="138"/>
      <c r="AP65" s="148" t="s">
        <v>694</v>
      </c>
      <c r="AQ65" s="138"/>
      <c r="AR65" s="138"/>
      <c r="AS65" s="138"/>
      <c r="AT65" s="138"/>
      <c r="AU65" s="138"/>
      <c r="AV65" s="138"/>
      <c r="AW65" s="138"/>
      <c r="AX65" s="589"/>
      <c r="AY65" s="593"/>
      <c r="AZ65" s="138"/>
      <c r="BA65" s="138"/>
      <c r="BB65" s="148" t="s">
        <v>694</v>
      </c>
      <c r="BC65" s="138"/>
      <c r="BD65" s="138"/>
      <c r="BE65" s="138"/>
      <c r="BF65" s="138"/>
      <c r="BG65" s="138"/>
      <c r="BH65" s="138"/>
      <c r="BI65" s="138"/>
      <c r="BJ65" s="594"/>
      <c r="BK65" s="593"/>
      <c r="BL65" s="138"/>
      <c r="BM65" s="138"/>
      <c r="BN65" s="148" t="s">
        <v>694</v>
      </c>
      <c r="BO65" s="138"/>
      <c r="BP65" s="138"/>
      <c r="BQ65" s="138"/>
      <c r="BR65" s="138"/>
      <c r="BS65" s="138"/>
      <c r="BT65" s="138"/>
      <c r="BU65" s="138"/>
      <c r="BV65" s="594"/>
      <c r="BW65" s="593"/>
      <c r="BX65" s="138"/>
      <c r="BY65" s="138"/>
      <c r="BZ65" s="148" t="s">
        <v>694</v>
      </c>
      <c r="CA65" s="138"/>
      <c r="CB65" s="138"/>
      <c r="CC65" s="138"/>
      <c r="CD65" s="138"/>
      <c r="CE65" s="138"/>
      <c r="CF65" s="138"/>
      <c r="CG65" s="138"/>
      <c r="CH65" s="594"/>
    </row>
    <row r="66" spans="1:86" s="102" customFormat="1" ht="13.2">
      <c r="A66" s="120" t="s">
        <v>314</v>
      </c>
      <c r="B66" s="103" t="s">
        <v>129</v>
      </c>
      <c r="C66" s="593"/>
      <c r="D66" s="138"/>
      <c r="E66" s="138"/>
      <c r="F66" s="148" t="s">
        <v>695</v>
      </c>
      <c r="G66" s="138"/>
      <c r="H66" s="138"/>
      <c r="I66" s="138"/>
      <c r="J66" s="138"/>
      <c r="K66" s="138"/>
      <c r="L66" s="138"/>
      <c r="M66" s="138"/>
      <c r="N66" s="594"/>
      <c r="O66" s="615"/>
      <c r="P66" s="138"/>
      <c r="Q66" s="138"/>
      <c r="R66" s="148" t="s">
        <v>695</v>
      </c>
      <c r="S66" s="138"/>
      <c r="T66" s="138"/>
      <c r="U66" s="138"/>
      <c r="V66" s="138"/>
      <c r="W66" s="138"/>
      <c r="X66" s="138"/>
      <c r="Y66" s="138"/>
      <c r="Z66" s="589"/>
      <c r="AA66" s="593"/>
      <c r="AB66" s="138"/>
      <c r="AC66" s="138"/>
      <c r="AD66" s="148" t="s">
        <v>695</v>
      </c>
      <c r="AE66" s="138"/>
      <c r="AF66" s="138"/>
      <c r="AG66" s="138"/>
      <c r="AH66" s="138"/>
      <c r="AI66" s="138"/>
      <c r="AJ66" s="138"/>
      <c r="AK66" s="138"/>
      <c r="AL66" s="594"/>
      <c r="AM66" s="615"/>
      <c r="AN66" s="138"/>
      <c r="AO66" s="138"/>
      <c r="AP66" s="148" t="s">
        <v>695</v>
      </c>
      <c r="AQ66" s="138"/>
      <c r="AR66" s="138"/>
      <c r="AS66" s="138"/>
      <c r="AT66" s="138"/>
      <c r="AU66" s="138"/>
      <c r="AV66" s="138"/>
      <c r="AW66" s="138"/>
      <c r="AX66" s="589"/>
      <c r="AY66" s="593"/>
      <c r="AZ66" s="138"/>
      <c r="BA66" s="138"/>
      <c r="BB66" s="148" t="s">
        <v>695</v>
      </c>
      <c r="BC66" s="138"/>
      <c r="BD66" s="138"/>
      <c r="BE66" s="138"/>
      <c r="BF66" s="138"/>
      <c r="BG66" s="138"/>
      <c r="BH66" s="138"/>
      <c r="BI66" s="138"/>
      <c r="BJ66" s="594"/>
      <c r="BK66" s="593"/>
      <c r="BL66" s="138"/>
      <c r="BM66" s="138"/>
      <c r="BN66" s="148" t="s">
        <v>695</v>
      </c>
      <c r="BO66" s="138"/>
      <c r="BP66" s="138"/>
      <c r="BQ66" s="138"/>
      <c r="BR66" s="138"/>
      <c r="BS66" s="138"/>
      <c r="BT66" s="138"/>
      <c r="BU66" s="138"/>
      <c r="BV66" s="594"/>
      <c r="BW66" s="593"/>
      <c r="BX66" s="138"/>
      <c r="BY66" s="138"/>
      <c r="BZ66" s="148" t="s">
        <v>695</v>
      </c>
      <c r="CA66" s="138"/>
      <c r="CB66" s="138"/>
      <c r="CC66" s="138"/>
      <c r="CD66" s="138"/>
      <c r="CE66" s="138"/>
      <c r="CF66" s="138"/>
      <c r="CG66" s="138"/>
      <c r="CH66" s="594"/>
    </row>
    <row r="67" spans="1:86" s="130" customFormat="1" thickBot="1">
      <c r="A67" s="129">
        <v>16</v>
      </c>
      <c r="B67" s="104" t="s">
        <v>257</v>
      </c>
      <c r="C67" s="595"/>
      <c r="D67" s="139"/>
      <c r="E67" s="139"/>
      <c r="F67" s="598">
        <f>F17/F53</f>
        <v>2.3932962677076747E-2</v>
      </c>
      <c r="G67" s="139"/>
      <c r="H67" s="139"/>
      <c r="I67" s="139"/>
      <c r="J67" s="139"/>
      <c r="K67" s="139"/>
      <c r="L67" s="139"/>
      <c r="M67" s="139"/>
      <c r="N67" s="596"/>
      <c r="O67" s="616"/>
      <c r="P67" s="139"/>
      <c r="Q67" s="139"/>
      <c r="R67" s="598">
        <f>R17/R53</f>
        <v>2.9085157390480929E-2</v>
      </c>
      <c r="S67" s="139"/>
      <c r="T67" s="139"/>
      <c r="U67" s="139"/>
      <c r="V67" s="139"/>
      <c r="W67" s="139"/>
      <c r="X67" s="139"/>
      <c r="Y67" s="139"/>
      <c r="Z67" s="590"/>
      <c r="AA67" s="595"/>
      <c r="AB67" s="139"/>
      <c r="AC67" s="139"/>
      <c r="AD67" s="598">
        <f>AD17/AD53</f>
        <v>2.1206289642620536E-2</v>
      </c>
      <c r="AE67" s="139"/>
      <c r="AF67" s="139"/>
      <c r="AG67" s="139"/>
      <c r="AH67" s="139"/>
      <c r="AI67" s="139"/>
      <c r="AJ67" s="139"/>
      <c r="AK67" s="139"/>
      <c r="AL67" s="596"/>
      <c r="AM67" s="616"/>
      <c r="AN67" s="139"/>
      <c r="AO67" s="139"/>
      <c r="AP67" s="598">
        <f>AP17/AP53</f>
        <v>2.8796469379047611E-2</v>
      </c>
      <c r="AQ67" s="139"/>
      <c r="AR67" s="139"/>
      <c r="AS67" s="139"/>
      <c r="AT67" s="139"/>
      <c r="AU67" s="139"/>
      <c r="AV67" s="139"/>
      <c r="AW67" s="139"/>
      <c r="AX67" s="590"/>
      <c r="AY67" s="595"/>
      <c r="AZ67" s="139"/>
      <c r="BA67" s="139"/>
      <c r="BB67" s="598">
        <f>BB17/BB53</f>
        <v>3.1767531173001302E-2</v>
      </c>
      <c r="BC67" s="139"/>
      <c r="BD67" s="139"/>
      <c r="BE67" s="139"/>
      <c r="BF67" s="139"/>
      <c r="BG67" s="139"/>
      <c r="BH67" s="139"/>
      <c r="BI67" s="139"/>
      <c r="BJ67" s="596"/>
      <c r="BK67" s="595"/>
      <c r="BL67" s="139"/>
      <c r="BM67" s="139"/>
      <c r="BN67" s="598">
        <f>BN17/BN53</f>
        <v>2.9876805770768854E-2</v>
      </c>
      <c r="BO67" s="139"/>
      <c r="BP67" s="139"/>
      <c r="BQ67" s="139"/>
      <c r="BR67" s="139"/>
      <c r="BS67" s="139"/>
      <c r="BT67" s="139"/>
      <c r="BU67" s="139"/>
      <c r="BV67" s="596"/>
      <c r="BW67" s="595"/>
      <c r="BX67" s="139"/>
      <c r="BY67" s="139"/>
      <c r="BZ67" s="598">
        <f>BZ17/BZ53</f>
        <v>3.3338477547151454E-2</v>
      </c>
      <c r="CA67" s="139"/>
      <c r="CB67" s="139"/>
      <c r="CC67" s="139"/>
      <c r="CD67" s="139"/>
      <c r="CE67" s="139"/>
      <c r="CF67" s="139"/>
      <c r="CG67" s="139"/>
      <c r="CH67" s="596"/>
    </row>
    <row r="68" spans="1:86" s="68" customFormat="1">
      <c r="A68" s="121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V68" s="101"/>
      <c r="AW68" s="101"/>
      <c r="AX68" s="101"/>
      <c r="BH68" s="101"/>
      <c r="BI68" s="101"/>
      <c r="BJ68" s="101"/>
    </row>
  </sheetData>
  <mergeCells count="35">
    <mergeCell ref="BW2:CH2"/>
    <mergeCell ref="BW3:BY3"/>
    <mergeCell ref="BZ3:CB3"/>
    <mergeCell ref="CC3:CE3"/>
    <mergeCell ref="CF3:CH3"/>
    <mergeCell ref="AA2:AL2"/>
    <mergeCell ref="AA3:AC3"/>
    <mergeCell ref="AD3:AF3"/>
    <mergeCell ref="AG3:AI3"/>
    <mergeCell ref="AJ3:AL3"/>
    <mergeCell ref="O2:Z2"/>
    <mergeCell ref="O3:Q3"/>
    <mergeCell ref="R3:T3"/>
    <mergeCell ref="U3:W3"/>
    <mergeCell ref="X3:Z3"/>
    <mergeCell ref="C2:N2"/>
    <mergeCell ref="C3:E3"/>
    <mergeCell ref="F3:H3"/>
    <mergeCell ref="I3:K3"/>
    <mergeCell ref="L3:N3"/>
    <mergeCell ref="AM2:AX2"/>
    <mergeCell ref="AM3:AO3"/>
    <mergeCell ref="AP3:AR3"/>
    <mergeCell ref="AS3:AU3"/>
    <mergeCell ref="AV3:AX3"/>
    <mergeCell ref="AY2:BJ2"/>
    <mergeCell ref="AY3:BA3"/>
    <mergeCell ref="BB3:BD3"/>
    <mergeCell ref="BE3:BG3"/>
    <mergeCell ref="BH3:BJ3"/>
    <mergeCell ref="BK2:BV2"/>
    <mergeCell ref="BK3:BM3"/>
    <mergeCell ref="BN3:BP3"/>
    <mergeCell ref="BQ3:BS3"/>
    <mergeCell ref="BT3:BV3"/>
  </mergeCells>
  <pageMargins left="0.7" right="0.7" top="0.75" bottom="0.75" header="0.3" footer="0.3"/>
  <pageSetup paperSize="9" orientation="portrait" r:id="rId1"/>
  <ignoredErrors>
    <ignoredError sqref="M58:N60 AA60:AC60 AH60:AL60" numberStoredAsText="1"/>
    <ignoredError sqref="C58:L60 M5:N11 C5:L5 C53:L57 C52 L52 I52:J52 F52 O5:Z11 O53:Z60 O52 X52:Z52 AA5:AL11 AA59:AC59 AH59:AL59 AD60:AG60 AD59:AG59 AA53:AL58 AA52 AJ52:AL52 AG52 C17:L18 C16 E16:F16 H16:I16 K16:L16 C21:L31 C19:F20 I19:L20 C33:L35 C32:F32 I32 C37:L39 C36:F36 H36:I36 C41:L43 C40:F40 H40:I40 K40:L40 C45:L47 C44:F44 H44:I44 K44:L44 C49:L50 C48 E48:L48 O17:Z17 O15:R16 X15:Z16 O21:Z29 O18:R20 U18:Z20 O41:Z41 O40:R40 U40 X40:Z40 O45:Z45 O44:R44 U44 X44:Z44 AA17:AL17 AA15:AD16 AJ15:AL16 AA21:AL29 AA18:AD20 AG18:AL20 AA33:AL33 AA32:AD32 AJ32:AL32 AA37:AL37 AA36:AG36 AJ36:AL36 AA41:AL41 AA38:AD40 AG38 AG39:AG40 AJ39:AL40 AA45:AL45 AA43:AD44 AG43:AG44 AJ43:AL44 AA49:AL49 AA48 AD48 AD52 C51 E51:L51 C9:L9 C6:C8 F6:F8 C13:L14 C10:C11 F10:F11 I10:I11 I6:I8 L6:L8 L10:L11 C15:I15 K15:L15 K32:L32 K36:L36 O14:R14 U14 U15:U16 X14:Z14 O33:Z37 O30:R32 U30:Z32 O38:R39 U38:U39 X38:Z39 O42:R43 U42:U43 X42:Z43 O49:Z49 O46:O48 R46:Z48 R52:V52 O50:O51 R50:Z51 AA14:AD14 AG14 AG15:AG16 AJ14:AL14 AA30:AD31 AG30:AG31 AG32 AJ30:AL31 AA34:AG35 AJ34:AL35 AJ38:AL38 AA42:AD42 AG42 AJ42:AL42 AA46:AA47 AD46:AD47 AG48 AG46:AL47 AJ48:AL48 AA50:AA51 AD50:AD51 AG50:AG51 AJ50:AL51 M13:N57 O13:Z13 AA13:AL13" numberStoredAsText="1" formula="1"/>
    <ignoredError sqref="AY5:BJ11 AY17:BJ17 AY16:BB16 BE16 AY21:BJ21 AY19:BB20 BE19:BJ20 AY68:BJ68 C61:L61 O61:Z61 AM5:AX11 AY53:BJ61 AY52:BB52 BH52:BJ52 AM17:AX17 AM16:AP16 AS16 AM15:AP15 AM14:AP14 AS14 AY15:BB15 AY14:BB14 BE14 AS15 BE15 AM21:AX31 AM19:AP20 AS19:AX20 BH16:BJ16 BH15:BJ15 AV16:AX16 AU14:AX14 AV15:AX15 BH14:BJ14 AM33:AX35 AM32:AS32 AU32:AX32 AM37:AX37 AM36:AS36 AU36:AX36 AY41:BJ42 AY40:BB40 BE40 AY45:BJ47 AY44:BB44 BE44 BH40:BJ40 BH44:BJ44 AM41:AX41 AM40:AP40 AS40 AV40:AX40 AM45:AX45 AM44:AP44 AS44 AV44:AX44 AM49:AX49 AM48 AO48:AS48 AM53:AX60 AM52 AO52:AS52 AY39:BB39 BE39 BH39:BJ39 AY43:BB43 BE43 BH43:BJ43 AY18:BB18 BE18:BJ18 AM18:AP18 AS18:AX18 AM38:AP39 AR38:AS38 AM42:AP43 AR42:AS42 AU38:AX38 AU42:AX42 AM46:AS47 AU46:AX47 AU48:AX48 AM50:AS51 AU50:AX51 AU52:AX52 AY13:BJ13 AM13:AX13 AY25:BJ27 AY22:BB24 BE22:BJ24 AY33:BJ33 AY30:AY32 BB30:BJ32 AY37:BJ38 AY34:AY36 BB34:BJ36 AY29:BJ29 AY28:BB28 BD28:BJ28 AY49:BJ51 AY48:BB48 BD48:BJ48 BD52:BF52 AS39 AV39:AX39 AS43 AV43:AX4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1493"/>
  <sheetViews>
    <sheetView zoomScale="90" zoomScaleNormal="90" workbookViewId="0">
      <pane ySplit="4" topLeftCell="A456" activePane="bottomLeft" state="frozen"/>
      <selection activeCell="AB8" sqref="AB8"/>
      <selection pane="bottomLeft" sqref="A1:XFD1"/>
    </sheetView>
  </sheetViews>
  <sheetFormatPr defaultColWidth="9.33203125" defaultRowHeight="13.2" outlineLevelRow="1"/>
  <cols>
    <col min="1" max="1" width="23.5546875" style="149" bestFit="1" customWidth="1"/>
    <col min="2" max="2" width="14.33203125" style="149" bestFit="1" customWidth="1"/>
    <col min="3" max="3" width="12.6640625" style="149" bestFit="1" customWidth="1"/>
    <col min="4" max="4" width="6.21875" style="149" customWidth="1"/>
    <col min="5" max="5" width="7.21875" style="149" customWidth="1"/>
    <col min="6" max="6" width="8.33203125" style="149" bestFit="1" customWidth="1"/>
    <col min="7" max="7" width="8.88671875" style="149" bestFit="1" customWidth="1"/>
    <col min="8" max="8" width="9" style="149" bestFit="1" customWidth="1"/>
    <col min="9" max="11" width="7.5546875" style="149" customWidth="1"/>
    <col min="12" max="12" width="9.6640625" style="149" bestFit="1" customWidth="1"/>
    <col min="13" max="17" width="8.44140625" style="149" customWidth="1"/>
    <col min="18" max="18" width="11.5546875" style="149" bestFit="1" customWidth="1"/>
    <col min="19" max="19" width="11.6640625" style="149" bestFit="1" customWidth="1"/>
    <col min="20" max="20" width="9.6640625" style="149" bestFit="1" customWidth="1"/>
    <col min="21" max="21" width="8.109375" style="149" customWidth="1"/>
    <col min="22" max="22" width="3.77734375" style="149" bestFit="1" customWidth="1"/>
    <col min="23" max="23" width="9.109375" style="149" customWidth="1"/>
    <col min="24" max="24" width="7.21875" style="149" customWidth="1"/>
    <col min="25" max="25" width="5" style="149" customWidth="1"/>
    <col min="26" max="26" width="5.88671875" style="149" customWidth="1"/>
    <col min="27" max="28" width="9.33203125" style="149"/>
    <col min="29" max="29" width="6.109375" style="149" customWidth="1"/>
    <col min="30" max="30" width="9.33203125" style="149"/>
    <col min="31" max="31" width="7" style="149" customWidth="1"/>
    <col min="32" max="32" width="9.33203125" style="149"/>
    <col min="33" max="33" width="8.33203125" style="149" customWidth="1"/>
    <col min="34" max="16384" width="9.33203125" style="149"/>
  </cols>
  <sheetData>
    <row r="1" spans="1:25" s="157" customFormat="1"/>
    <row r="2" spans="1:25" s="157" customFormat="1" ht="16.2" thickBot="1">
      <c r="A2" s="278" t="s">
        <v>996</v>
      </c>
    </row>
    <row r="3" spans="1:25">
      <c r="A3" s="1779" t="s">
        <v>353</v>
      </c>
      <c r="B3" s="1777" t="s">
        <v>424</v>
      </c>
      <c r="C3" s="1777" t="s">
        <v>425</v>
      </c>
      <c r="D3" s="1777" t="s">
        <v>426</v>
      </c>
      <c r="E3" s="1781" t="s">
        <v>428</v>
      </c>
      <c r="F3" s="1777" t="s">
        <v>130</v>
      </c>
      <c r="G3" s="1777" t="s">
        <v>131</v>
      </c>
      <c r="H3" s="1771" t="s">
        <v>385</v>
      </c>
      <c r="I3" s="1772"/>
      <c r="J3" s="1772"/>
      <c r="K3" s="1773"/>
      <c r="L3" s="178" t="s">
        <v>223</v>
      </c>
      <c r="M3" s="1774" t="s">
        <v>1243</v>
      </c>
      <c r="N3" s="1775"/>
      <c r="O3" s="1775"/>
      <c r="P3" s="1775"/>
      <c r="Q3" s="1776"/>
    </row>
    <row r="4" spans="1:25" ht="13.8" thickBot="1">
      <c r="A4" s="1780"/>
      <c r="B4" s="1778"/>
      <c r="C4" s="1778"/>
      <c r="D4" s="1778"/>
      <c r="E4" s="1782"/>
      <c r="F4" s="1778"/>
      <c r="G4" s="1778"/>
      <c r="H4" s="179" t="s">
        <v>132</v>
      </c>
      <c r="I4" s="180" t="s">
        <v>133</v>
      </c>
      <c r="J4" s="181" t="s">
        <v>134</v>
      </c>
      <c r="K4" s="182" t="s">
        <v>135</v>
      </c>
      <c r="L4" s="183" t="s">
        <v>224</v>
      </c>
      <c r="M4" s="184" t="s">
        <v>132</v>
      </c>
      <c r="N4" s="185" t="s">
        <v>133</v>
      </c>
      <c r="O4" s="185" t="s">
        <v>134</v>
      </c>
      <c r="P4" s="186" t="s">
        <v>135</v>
      </c>
      <c r="Q4" s="187" t="s">
        <v>195</v>
      </c>
    </row>
    <row r="5" spans="1:25">
      <c r="A5" s="1767">
        <v>2021</v>
      </c>
      <c r="B5" s="1768"/>
      <c r="C5" s="1768"/>
      <c r="D5" s="1768"/>
      <c r="E5" s="1768"/>
      <c r="F5" s="268"/>
      <c r="G5" s="268"/>
      <c r="H5" s="269"/>
      <c r="I5" s="268"/>
      <c r="J5" s="268"/>
      <c r="K5" s="268"/>
      <c r="L5" s="268"/>
      <c r="M5" s="268"/>
      <c r="N5" s="268"/>
      <c r="O5" s="268"/>
      <c r="P5" s="268"/>
      <c r="Q5" s="268"/>
    </row>
    <row r="6" spans="1:25" ht="13.8" thickBot="1">
      <c r="A6" s="15" t="s">
        <v>1304</v>
      </c>
      <c r="B6" s="189"/>
      <c r="C6" s="189"/>
      <c r="D6" s="189"/>
      <c r="E6" s="189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S6" s="1763" t="s">
        <v>1270</v>
      </c>
      <c r="T6" s="1763"/>
      <c r="U6" s="1516">
        <f>'3. Üldiseloomustus'!D61</f>
        <v>338629.31</v>
      </c>
      <c r="V6" s="1517" t="s">
        <v>1271</v>
      </c>
      <c r="W6" s="1761">
        <f>A5</f>
        <v>2021</v>
      </c>
      <c r="X6" s="1761"/>
      <c r="Y6" s="1761"/>
    </row>
    <row r="7" spans="1:25" hidden="1" outlineLevel="1">
      <c r="A7" s="771" t="s">
        <v>815</v>
      </c>
      <c r="B7" s="1308" t="s">
        <v>434</v>
      </c>
      <c r="C7" s="1308" t="s">
        <v>435</v>
      </c>
      <c r="D7" s="1309" t="s">
        <v>427</v>
      </c>
      <c r="E7" s="1310">
        <v>1</v>
      </c>
      <c r="F7" s="1309" t="s">
        <v>868</v>
      </c>
      <c r="G7" s="1311">
        <v>1435</v>
      </c>
      <c r="H7" s="778">
        <f>SUM(I7:K7)</f>
        <v>5.8209999999999998E-2</v>
      </c>
      <c r="I7" s="1329">
        <v>5.8209999999999998E-2</v>
      </c>
      <c r="J7" s="1329"/>
      <c r="K7" s="1330"/>
      <c r="L7" s="1310">
        <v>0.5</v>
      </c>
      <c r="M7" s="772">
        <f>SUM(N7:P7)-Q7</f>
        <v>41.765675000000002</v>
      </c>
      <c r="N7" s="772">
        <f t="shared" ref="N7:N168" si="0">E7*G7*I7*L7</f>
        <v>41.765675000000002</v>
      </c>
      <c r="O7" s="773">
        <f t="shared" ref="O7:O168" si="1">E7*G7*J7*L7*10</f>
        <v>0</v>
      </c>
      <c r="P7" s="773">
        <f>E7*G7*K7*L7*15</f>
        <v>0</v>
      </c>
      <c r="Q7" s="1339">
        <v>0</v>
      </c>
      <c r="R7" s="774"/>
      <c r="S7" s="1758" t="s">
        <v>1272</v>
      </c>
      <c r="T7" s="1758"/>
      <c r="U7" s="1518">
        <f>H7+H17+H21+H25+H31+H37+H42+H47+H58+H63+H67+H73+H79+H84+H89+H99+H103+H107+H113+H119+H124+H129+H139+H143+H147+H153+H159+H164</f>
        <v>0.53781999999999996</v>
      </c>
      <c r="V7" s="1519" t="s">
        <v>1273</v>
      </c>
      <c r="W7" s="1520" t="s">
        <v>1274</v>
      </c>
      <c r="X7" s="1554">
        <f>U7*1000000/U6</f>
        <v>1.588226370599757</v>
      </c>
      <c r="Y7" s="1522" t="s">
        <v>1275</v>
      </c>
    </row>
    <row r="8" spans="1:25" hidden="1" outlineLevel="1">
      <c r="A8" s="190" t="s">
        <v>815</v>
      </c>
      <c r="B8" s="1312" t="s">
        <v>434</v>
      </c>
      <c r="C8" s="1312" t="s">
        <v>435</v>
      </c>
      <c r="D8" s="1313" t="s">
        <v>427</v>
      </c>
      <c r="E8" s="1314">
        <v>1</v>
      </c>
      <c r="F8" s="1313" t="s">
        <v>441</v>
      </c>
      <c r="G8" s="1315">
        <v>552.89</v>
      </c>
      <c r="H8" s="237">
        <f t="shared" ref="H8:H9" si="2">SUM(I8:K8)</f>
        <v>7.5673000000000004E-2</v>
      </c>
      <c r="I8" s="1331">
        <v>7.5673000000000004E-2</v>
      </c>
      <c r="J8" s="1331"/>
      <c r="K8" s="1332"/>
      <c r="L8" s="1314">
        <v>0.5</v>
      </c>
      <c r="M8" s="223">
        <f t="shared" ref="M8:M9" si="3">SUM(N8:P8)-Q8</f>
        <v>20.919422485000002</v>
      </c>
      <c r="N8" s="223">
        <f t="shared" si="0"/>
        <v>20.919422485000002</v>
      </c>
      <c r="O8" s="224">
        <f t="shared" si="1"/>
        <v>0</v>
      </c>
      <c r="P8" s="224">
        <f t="shared" ref="P8:P9" si="4">E8*G8*K8*L8*15</f>
        <v>0</v>
      </c>
      <c r="Q8" s="1340">
        <v>0</v>
      </c>
      <c r="S8" s="1758" t="s">
        <v>871</v>
      </c>
      <c r="T8" s="1758"/>
      <c r="U8" s="1523">
        <f>H59</f>
        <v>16380</v>
      </c>
      <c r="V8" s="1519" t="s">
        <v>1273</v>
      </c>
      <c r="W8" s="1520" t="s">
        <v>1274</v>
      </c>
      <c r="X8" s="1521">
        <f>U8*1000000/U6</f>
        <v>48371.477353806142</v>
      </c>
      <c r="Y8" s="1522" t="s">
        <v>1275</v>
      </c>
    </row>
    <row r="9" spans="1:25" hidden="1" outlineLevel="1">
      <c r="A9" s="190" t="s">
        <v>815</v>
      </c>
      <c r="B9" s="1316" t="s">
        <v>434</v>
      </c>
      <c r="C9" s="1316" t="s">
        <v>435</v>
      </c>
      <c r="D9" s="1317" t="s">
        <v>427</v>
      </c>
      <c r="E9" s="1318">
        <v>1</v>
      </c>
      <c r="F9" s="1319" t="s">
        <v>442</v>
      </c>
      <c r="G9" s="1315">
        <v>4582</v>
      </c>
      <c r="H9" s="238">
        <f t="shared" si="2"/>
        <v>0</v>
      </c>
      <c r="I9" s="1333"/>
      <c r="J9" s="1333"/>
      <c r="K9" s="1334"/>
      <c r="L9" s="1318">
        <v>0.5</v>
      </c>
      <c r="M9" s="233">
        <f t="shared" si="3"/>
        <v>0</v>
      </c>
      <c r="N9" s="233">
        <f t="shared" si="0"/>
        <v>0</v>
      </c>
      <c r="O9" s="234">
        <f t="shared" si="1"/>
        <v>0</v>
      </c>
      <c r="P9" s="234">
        <f t="shared" si="4"/>
        <v>0</v>
      </c>
      <c r="Q9" s="1341">
        <v>0</v>
      </c>
      <c r="S9" s="1758" t="s">
        <v>1276</v>
      </c>
      <c r="T9" s="1758"/>
      <c r="U9" s="1518">
        <f>H8+H14+H15+H16+H18+H22+H26+H32+H38+H43+H48+H53+H55+H56+H57+H60+H64+H68+H74+H80+H85+H90+H96+H97+H98+H100+H104+H108+H114+H120+H125+H130+H136+H137+H138+H140+H144+H148+H154+H160+H165</f>
        <v>0.68417800000000006</v>
      </c>
      <c r="V9" s="1519" t="s">
        <v>1273</v>
      </c>
      <c r="W9" s="1520" t="s">
        <v>1274</v>
      </c>
      <c r="X9" s="1554">
        <f>U9*1000000/U6</f>
        <v>2.0204334940764581</v>
      </c>
      <c r="Y9" s="1522" t="s">
        <v>1275</v>
      </c>
    </row>
    <row r="10" spans="1:25" hidden="1" outlineLevel="1">
      <c r="A10" s="190" t="s">
        <v>815</v>
      </c>
      <c r="B10" s="1316" t="s">
        <v>434</v>
      </c>
      <c r="C10" s="1316" t="s">
        <v>435</v>
      </c>
      <c r="D10" s="1317" t="s">
        <v>427</v>
      </c>
      <c r="E10" s="1318">
        <v>1</v>
      </c>
      <c r="F10" s="1317" t="s">
        <v>443</v>
      </c>
      <c r="G10" s="1315">
        <v>2826</v>
      </c>
      <c r="H10" s="238">
        <f>SUM(I10:K10)</f>
        <v>8.1493999999999997E-2</v>
      </c>
      <c r="I10" s="1333">
        <v>8.1493999999999997E-2</v>
      </c>
      <c r="J10" s="1333"/>
      <c r="K10" s="1334"/>
      <c r="L10" s="1318">
        <v>0.5</v>
      </c>
      <c r="M10" s="233">
        <f>SUM(N10:P10)-Q10</f>
        <v>115.151022</v>
      </c>
      <c r="N10" s="233">
        <f t="shared" si="0"/>
        <v>115.151022</v>
      </c>
      <c r="O10" s="234">
        <f t="shared" si="1"/>
        <v>0</v>
      </c>
      <c r="P10" s="234">
        <f>E10*G10*K10*L10*15</f>
        <v>0</v>
      </c>
      <c r="Q10" s="1341">
        <v>0</v>
      </c>
      <c r="S10" s="1758" t="s">
        <v>1279</v>
      </c>
      <c r="T10" s="1758"/>
      <c r="U10" s="1518">
        <f>H9+H13+H27+H33+H39+H44+H49+H54+H69+H75+H81+H86+H91+H95+H109+H115+H121+H126+H131+H135+H149+H155+H161+H166</f>
        <v>8.2100000000000003E-3</v>
      </c>
      <c r="V10" s="1519" t="s">
        <v>1273</v>
      </c>
      <c r="W10" s="1520" t="s">
        <v>1274</v>
      </c>
      <c r="X10" s="1554">
        <f>U10*1000000/U6</f>
        <v>2.4244800309813703E-2</v>
      </c>
      <c r="Y10" s="1522" t="s">
        <v>1275</v>
      </c>
    </row>
    <row r="11" spans="1:25" ht="13.2" hidden="1" customHeight="1" outlineLevel="1">
      <c r="A11" s="190" t="s">
        <v>815</v>
      </c>
      <c r="B11" s="1316" t="s">
        <v>434</v>
      </c>
      <c r="C11" s="1316" t="s">
        <v>435</v>
      </c>
      <c r="D11" s="1317" t="s">
        <v>427</v>
      </c>
      <c r="E11" s="1318">
        <v>1</v>
      </c>
      <c r="F11" s="1317" t="s">
        <v>444</v>
      </c>
      <c r="G11" s="1315">
        <v>12014</v>
      </c>
      <c r="H11" s="238">
        <f>SUM(I11:K11)</f>
        <v>1.0477999999999999E-2</v>
      </c>
      <c r="I11" s="1333">
        <v>1.0477999999999999E-2</v>
      </c>
      <c r="J11" s="1333"/>
      <c r="K11" s="1334"/>
      <c r="L11" s="1318">
        <v>0.5</v>
      </c>
      <c r="M11" s="233">
        <f>SUM(N11:P11)-Q11</f>
        <v>62.941345999999996</v>
      </c>
      <c r="N11" s="233">
        <f t="shared" si="0"/>
        <v>62.941345999999996</v>
      </c>
      <c r="O11" s="234">
        <f t="shared" si="1"/>
        <v>0</v>
      </c>
      <c r="P11" s="234">
        <f>E11*G11*K11*L11*15</f>
        <v>0</v>
      </c>
      <c r="Q11" s="1341">
        <v>0</v>
      </c>
      <c r="S11" s="1758" t="s">
        <v>1278</v>
      </c>
      <c r="T11" s="1758"/>
      <c r="U11" s="1518">
        <f>H10+H19+H23+H28+H34+H40+H45+H50+H61+H65+H70+H76+H82+H87+H92+H101+H105+H110+H116+H122+H127+H132+H141+H145+H150+H156+H162+H167</f>
        <v>1.120474</v>
      </c>
      <c r="V11" s="1519" t="s">
        <v>1273</v>
      </c>
      <c r="W11" s="1520" t="s">
        <v>1274</v>
      </c>
      <c r="X11" s="1554">
        <f>U11*1000000/U6</f>
        <v>3.3088512036952737</v>
      </c>
      <c r="Y11" s="1522" t="s">
        <v>1275</v>
      </c>
    </row>
    <row r="12" spans="1:25" ht="13.2" hidden="1" customHeight="1" outlineLevel="1">
      <c r="A12" s="190" t="s">
        <v>815</v>
      </c>
      <c r="B12" s="1320" t="s">
        <v>434</v>
      </c>
      <c r="C12" s="1320" t="s">
        <v>435</v>
      </c>
      <c r="D12" s="1321" t="s">
        <v>427</v>
      </c>
      <c r="E12" s="1322">
        <v>1</v>
      </c>
      <c r="F12" s="1321" t="s">
        <v>445</v>
      </c>
      <c r="G12" s="1323">
        <v>24326</v>
      </c>
      <c r="H12" s="239">
        <f t="shared" ref="H12:H26" si="5">SUM(I12:K12)</f>
        <v>2.4399999999999999E-4</v>
      </c>
      <c r="I12" s="1335">
        <v>2.4399999999999999E-4</v>
      </c>
      <c r="J12" s="1335"/>
      <c r="K12" s="1336"/>
      <c r="L12" s="1322">
        <v>0.5</v>
      </c>
      <c r="M12" s="227">
        <f t="shared" ref="M12:M27" si="6">SUM(N12:P12)-Q12</f>
        <v>2.9677720000000001</v>
      </c>
      <c r="N12" s="227">
        <f t="shared" ref="N12:N27" si="7">E12*G12*I12*L12</f>
        <v>2.9677720000000001</v>
      </c>
      <c r="O12" s="228">
        <f t="shared" ref="O12:O27" si="8">E12*G12*J12*L12*10</f>
        <v>0</v>
      </c>
      <c r="P12" s="228">
        <f t="shared" ref="P12:P27" si="9">E12*G12*K12*L12*15</f>
        <v>0</v>
      </c>
      <c r="Q12" s="1342">
        <v>0</v>
      </c>
      <c r="S12" s="1758" t="s">
        <v>1277</v>
      </c>
      <c r="T12" s="1758"/>
      <c r="U12" s="1518">
        <f>H11+H20+H24+H29+H35+H41+H46+H51+H62+H66+H71+H77+H83+H88+H93+H102+H106+H111+H117+H123+H128+H133+H142+H146+H151+H157+H163+H168</f>
        <v>0.16474299999999997</v>
      </c>
      <c r="V12" s="1519" t="s">
        <v>1273</v>
      </c>
      <c r="W12" s="1520" t="s">
        <v>1274</v>
      </c>
      <c r="X12" s="1554">
        <f>U12*1000000/U6</f>
        <v>0.48649952952979758</v>
      </c>
      <c r="Y12" s="1522" t="s">
        <v>1275</v>
      </c>
    </row>
    <row r="13" spans="1:25" hidden="1" outlineLevel="1">
      <c r="A13" s="190" t="s">
        <v>815</v>
      </c>
      <c r="B13" s="1320" t="s">
        <v>869</v>
      </c>
      <c r="C13" s="1320" t="s">
        <v>870</v>
      </c>
      <c r="D13" s="1321" t="s">
        <v>427</v>
      </c>
      <c r="E13" s="1322">
        <v>1</v>
      </c>
      <c r="F13" s="1324" t="s">
        <v>442</v>
      </c>
      <c r="G13" s="1328">
        <v>4582</v>
      </c>
      <c r="H13" s="239">
        <f t="shared" ref="H13:H14" si="10">SUM(I13:K13)</f>
        <v>0</v>
      </c>
      <c r="I13" s="1482"/>
      <c r="J13" s="1482"/>
      <c r="K13" s="1482"/>
      <c r="L13" s="1322">
        <v>0.5</v>
      </c>
      <c r="M13" s="520">
        <f t="shared" ref="M13:M16" si="11">SUM(N13:P13)-Q13</f>
        <v>0</v>
      </c>
      <c r="N13" s="521">
        <v>0</v>
      </c>
      <c r="O13" s="522">
        <f t="shared" ref="O13:O16" si="12">E13*G13*J13</f>
        <v>0</v>
      </c>
      <c r="P13" s="522"/>
      <c r="Q13" s="1342">
        <v>0</v>
      </c>
      <c r="S13" s="1759" t="s">
        <v>1280</v>
      </c>
      <c r="T13" s="1759"/>
      <c r="U13" s="1528">
        <f>H12+H30+H36+H52+H72+H78+H94+H112+H118+H134+H152+H158</f>
        <v>4.4499999999999997E-4</v>
      </c>
      <c r="V13" s="1525" t="s">
        <v>1273</v>
      </c>
      <c r="W13" s="1526" t="s">
        <v>1274</v>
      </c>
      <c r="X13" s="1549">
        <f>U13*1000000/U6</f>
        <v>1.3141213322615222E-3</v>
      </c>
      <c r="Y13" s="1527" t="s">
        <v>1275</v>
      </c>
    </row>
    <row r="14" spans="1:25" hidden="1" outlineLevel="1">
      <c r="A14" s="190" t="s">
        <v>815</v>
      </c>
      <c r="B14" s="1320" t="s">
        <v>1301</v>
      </c>
      <c r="C14" s="1320" t="s">
        <v>867</v>
      </c>
      <c r="D14" s="1321" t="s">
        <v>427</v>
      </c>
      <c r="E14" s="1322">
        <v>1.5</v>
      </c>
      <c r="F14" s="1324" t="s">
        <v>441</v>
      </c>
      <c r="G14" s="1323">
        <v>552.89</v>
      </c>
      <c r="H14" s="239">
        <f t="shared" si="10"/>
        <v>3.4720000000000003E-3</v>
      </c>
      <c r="I14" s="1335">
        <v>2.48E-3</v>
      </c>
      <c r="J14" s="1335">
        <v>9.9200000000000004E-4</v>
      </c>
      <c r="K14" s="1482"/>
      <c r="L14" s="1322">
        <v>1</v>
      </c>
      <c r="M14" s="520">
        <f t="shared" si="11"/>
        <v>0.82270032000000004</v>
      </c>
      <c r="N14" s="521">
        <v>0</v>
      </c>
      <c r="O14" s="522">
        <f t="shared" si="12"/>
        <v>0.82270032000000004</v>
      </c>
      <c r="P14" s="522"/>
      <c r="Q14" s="1342">
        <v>0</v>
      </c>
      <c r="T14" s="1529" t="s">
        <v>1104</v>
      </c>
      <c r="U14" s="1530">
        <f>SUM(U7:U13)-H169</f>
        <v>0</v>
      </c>
    </row>
    <row r="15" spans="1:25" hidden="1" outlineLevel="1">
      <c r="A15" s="190" t="s">
        <v>815</v>
      </c>
      <c r="B15" s="1325" t="s">
        <v>620</v>
      </c>
      <c r="C15" s="1325" t="s">
        <v>621</v>
      </c>
      <c r="D15" s="1321" t="s">
        <v>427</v>
      </c>
      <c r="E15" s="1327">
        <v>1</v>
      </c>
      <c r="F15" s="1324" t="s">
        <v>441</v>
      </c>
      <c r="G15" s="1323">
        <v>552.89</v>
      </c>
      <c r="H15" s="239">
        <f t="shared" ref="H15:H16" si="13">SUM(I15:K15)</f>
        <v>1.6E-2</v>
      </c>
      <c r="I15" s="1335">
        <v>1.2800000000000001E-2</v>
      </c>
      <c r="J15" s="1335">
        <v>3.2000000000000002E-3</v>
      </c>
      <c r="K15" s="1338"/>
      <c r="L15" s="1322">
        <v>1</v>
      </c>
      <c r="M15" s="520">
        <f t="shared" si="11"/>
        <v>1.7692479999999999</v>
      </c>
      <c r="N15" s="521">
        <v>0</v>
      </c>
      <c r="O15" s="522">
        <f t="shared" si="12"/>
        <v>1.7692479999999999</v>
      </c>
      <c r="P15" s="522"/>
      <c r="Q15" s="1342">
        <v>0</v>
      </c>
    </row>
    <row r="16" spans="1:25" hidden="1" outlineLevel="1">
      <c r="A16" s="190" t="s">
        <v>815</v>
      </c>
      <c r="B16" s="1325" t="s">
        <v>622</v>
      </c>
      <c r="C16" s="1325" t="s">
        <v>619</v>
      </c>
      <c r="D16" s="1321" t="s">
        <v>427</v>
      </c>
      <c r="E16" s="1327">
        <v>1</v>
      </c>
      <c r="F16" s="1324" t="s">
        <v>441</v>
      </c>
      <c r="G16" s="1323">
        <v>552.89</v>
      </c>
      <c r="H16" s="239">
        <f t="shared" si="13"/>
        <v>0</v>
      </c>
      <c r="I16" s="1482"/>
      <c r="J16" s="1338"/>
      <c r="K16" s="1338"/>
      <c r="L16" s="1322">
        <v>0.5</v>
      </c>
      <c r="M16" s="520">
        <f t="shared" si="11"/>
        <v>0</v>
      </c>
      <c r="N16" s="521">
        <v>0</v>
      </c>
      <c r="O16" s="522">
        <f t="shared" si="12"/>
        <v>0</v>
      </c>
      <c r="P16" s="522"/>
      <c r="Q16" s="1342">
        <v>0</v>
      </c>
    </row>
    <row r="17" spans="1:17" hidden="1" outlineLevel="1">
      <c r="A17" s="190" t="s">
        <v>815</v>
      </c>
      <c r="B17" s="1316" t="s">
        <v>436</v>
      </c>
      <c r="C17" s="1316" t="s">
        <v>591</v>
      </c>
      <c r="D17" s="1317" t="s">
        <v>427</v>
      </c>
      <c r="E17" s="1318">
        <v>1</v>
      </c>
      <c r="F17" s="1317" t="s">
        <v>868</v>
      </c>
      <c r="G17" s="1315">
        <v>1435</v>
      </c>
      <c r="H17" s="238">
        <f t="shared" si="5"/>
        <v>0</v>
      </c>
      <c r="I17" s="1333"/>
      <c r="J17" s="1333"/>
      <c r="K17" s="1334"/>
      <c r="L17" s="1318">
        <v>1</v>
      </c>
      <c r="M17" s="233">
        <f t="shared" si="6"/>
        <v>0</v>
      </c>
      <c r="N17" s="233">
        <f t="shared" si="7"/>
        <v>0</v>
      </c>
      <c r="O17" s="234">
        <f t="shared" si="8"/>
        <v>0</v>
      </c>
      <c r="P17" s="234">
        <f t="shared" si="9"/>
        <v>0</v>
      </c>
      <c r="Q17" s="1341">
        <v>0</v>
      </c>
    </row>
    <row r="18" spans="1:17" hidden="1" outlineLevel="1">
      <c r="A18" s="190" t="s">
        <v>815</v>
      </c>
      <c r="B18" s="1312" t="s">
        <v>436</v>
      </c>
      <c r="C18" s="1312" t="s">
        <v>591</v>
      </c>
      <c r="D18" s="1313" t="s">
        <v>427</v>
      </c>
      <c r="E18" s="1318">
        <v>1</v>
      </c>
      <c r="F18" s="1317" t="s">
        <v>441</v>
      </c>
      <c r="G18" s="1315">
        <v>552.89</v>
      </c>
      <c r="H18" s="238">
        <f t="shared" si="5"/>
        <v>0</v>
      </c>
      <c r="I18" s="1333"/>
      <c r="J18" s="1333"/>
      <c r="K18" s="1334"/>
      <c r="L18" s="1318">
        <v>1</v>
      </c>
      <c r="M18" s="233">
        <f t="shared" si="6"/>
        <v>0</v>
      </c>
      <c r="N18" s="233">
        <f t="shared" si="7"/>
        <v>0</v>
      </c>
      <c r="O18" s="234">
        <f t="shared" si="8"/>
        <v>0</v>
      </c>
      <c r="P18" s="234">
        <f t="shared" si="9"/>
        <v>0</v>
      </c>
      <c r="Q18" s="1340">
        <v>0</v>
      </c>
    </row>
    <row r="19" spans="1:17" hidden="1" outlineLevel="1">
      <c r="A19" s="190" t="s">
        <v>815</v>
      </c>
      <c r="B19" s="1316" t="s">
        <v>436</v>
      </c>
      <c r="C19" s="1316" t="s">
        <v>591</v>
      </c>
      <c r="D19" s="1317" t="s">
        <v>427</v>
      </c>
      <c r="E19" s="1318">
        <v>1</v>
      </c>
      <c r="F19" s="1317" t="s">
        <v>443</v>
      </c>
      <c r="G19" s="1315">
        <v>2826</v>
      </c>
      <c r="H19" s="238">
        <f t="shared" si="5"/>
        <v>0</v>
      </c>
      <c r="I19" s="1333"/>
      <c r="J19" s="1333"/>
      <c r="K19" s="1334"/>
      <c r="L19" s="1318">
        <v>1</v>
      </c>
      <c r="M19" s="233">
        <f t="shared" si="6"/>
        <v>0</v>
      </c>
      <c r="N19" s="233">
        <f t="shared" si="7"/>
        <v>0</v>
      </c>
      <c r="O19" s="234">
        <f t="shared" si="8"/>
        <v>0</v>
      </c>
      <c r="P19" s="234">
        <f t="shared" si="9"/>
        <v>0</v>
      </c>
      <c r="Q19" s="1341">
        <v>0</v>
      </c>
    </row>
    <row r="20" spans="1:17" hidden="1" outlineLevel="1">
      <c r="A20" s="190" t="s">
        <v>815</v>
      </c>
      <c r="B20" s="1320" t="s">
        <v>436</v>
      </c>
      <c r="C20" s="1320" t="s">
        <v>591</v>
      </c>
      <c r="D20" s="1321" t="s">
        <v>427</v>
      </c>
      <c r="E20" s="1322">
        <v>1</v>
      </c>
      <c r="F20" s="1321" t="s">
        <v>444</v>
      </c>
      <c r="G20" s="1323">
        <v>12014</v>
      </c>
      <c r="H20" s="239">
        <f t="shared" si="5"/>
        <v>0</v>
      </c>
      <c r="I20" s="1335"/>
      <c r="J20" s="1335"/>
      <c r="K20" s="1336"/>
      <c r="L20" s="1322">
        <v>1</v>
      </c>
      <c r="M20" s="227">
        <f t="shared" si="6"/>
        <v>0</v>
      </c>
      <c r="N20" s="227">
        <f t="shared" si="7"/>
        <v>0</v>
      </c>
      <c r="O20" s="228">
        <f t="shared" si="8"/>
        <v>0</v>
      </c>
      <c r="P20" s="228">
        <f t="shared" si="9"/>
        <v>0</v>
      </c>
      <c r="Q20" s="1342">
        <v>0</v>
      </c>
    </row>
    <row r="21" spans="1:17" hidden="1" outlineLevel="1">
      <c r="A21" s="190" t="s">
        <v>815</v>
      </c>
      <c r="B21" s="1316" t="s">
        <v>437</v>
      </c>
      <c r="C21" s="1316" t="s">
        <v>592</v>
      </c>
      <c r="D21" s="1317" t="s">
        <v>427</v>
      </c>
      <c r="E21" s="1318">
        <v>1</v>
      </c>
      <c r="F21" s="1317" t="s">
        <v>868</v>
      </c>
      <c r="G21" s="1315">
        <v>1435</v>
      </c>
      <c r="H21" s="238">
        <f t="shared" si="5"/>
        <v>4.8099999999999998E-4</v>
      </c>
      <c r="I21" s="1333">
        <v>4.8099999999999998E-4</v>
      </c>
      <c r="J21" s="1333"/>
      <c r="K21" s="1334"/>
      <c r="L21" s="1318">
        <v>0.5</v>
      </c>
      <c r="M21" s="233">
        <f t="shared" si="6"/>
        <v>0.34511749999999997</v>
      </c>
      <c r="N21" s="233">
        <f t="shared" si="7"/>
        <v>0.34511749999999997</v>
      </c>
      <c r="O21" s="234">
        <f t="shared" si="8"/>
        <v>0</v>
      </c>
      <c r="P21" s="234">
        <f t="shared" si="9"/>
        <v>0</v>
      </c>
      <c r="Q21" s="1341">
        <v>0</v>
      </c>
    </row>
    <row r="22" spans="1:17" hidden="1" outlineLevel="1">
      <c r="A22" s="190" t="s">
        <v>815</v>
      </c>
      <c r="B22" s="1312" t="s">
        <v>437</v>
      </c>
      <c r="C22" s="1312" t="s">
        <v>592</v>
      </c>
      <c r="D22" s="1313" t="s">
        <v>427</v>
      </c>
      <c r="E22" s="1318">
        <v>1</v>
      </c>
      <c r="F22" s="1317" t="s">
        <v>441</v>
      </c>
      <c r="G22" s="1315">
        <v>552.89</v>
      </c>
      <c r="H22" s="238">
        <f t="shared" si="5"/>
        <v>8.0099999999999995E-4</v>
      </c>
      <c r="I22" s="1333">
        <v>8.0099999999999995E-4</v>
      </c>
      <c r="J22" s="1333"/>
      <c r="K22" s="1334"/>
      <c r="L22" s="1318">
        <v>0.5</v>
      </c>
      <c r="M22" s="233">
        <f t="shared" si="6"/>
        <v>0.22143244499999998</v>
      </c>
      <c r="N22" s="233">
        <f t="shared" si="7"/>
        <v>0.22143244499999998</v>
      </c>
      <c r="O22" s="234">
        <f t="shared" si="8"/>
        <v>0</v>
      </c>
      <c r="P22" s="234">
        <f t="shared" si="9"/>
        <v>0</v>
      </c>
      <c r="Q22" s="1340">
        <v>0</v>
      </c>
    </row>
    <row r="23" spans="1:17" hidden="1" outlineLevel="1">
      <c r="A23" s="190" t="s">
        <v>815</v>
      </c>
      <c r="B23" s="1312" t="s">
        <v>437</v>
      </c>
      <c r="C23" s="1312" t="s">
        <v>592</v>
      </c>
      <c r="D23" s="1313" t="s">
        <v>427</v>
      </c>
      <c r="E23" s="1318">
        <v>1</v>
      </c>
      <c r="F23" s="1317" t="s">
        <v>443</v>
      </c>
      <c r="G23" s="1315">
        <v>2826</v>
      </c>
      <c r="H23" s="238">
        <f t="shared" si="5"/>
        <v>0</v>
      </c>
      <c r="I23" s="1333">
        <v>0</v>
      </c>
      <c r="J23" s="1333"/>
      <c r="K23" s="1334"/>
      <c r="L23" s="1318">
        <v>0.5</v>
      </c>
      <c r="M23" s="233">
        <f t="shared" si="6"/>
        <v>0</v>
      </c>
      <c r="N23" s="233">
        <f t="shared" si="7"/>
        <v>0</v>
      </c>
      <c r="O23" s="234">
        <f t="shared" si="8"/>
        <v>0</v>
      </c>
      <c r="P23" s="234">
        <f t="shared" si="9"/>
        <v>0</v>
      </c>
      <c r="Q23" s="1341">
        <v>0</v>
      </c>
    </row>
    <row r="24" spans="1:17" hidden="1" outlineLevel="1">
      <c r="A24" s="190" t="s">
        <v>815</v>
      </c>
      <c r="B24" s="1320" t="s">
        <v>437</v>
      </c>
      <c r="C24" s="1320" t="s">
        <v>592</v>
      </c>
      <c r="D24" s="1321" t="s">
        <v>427</v>
      </c>
      <c r="E24" s="1322">
        <v>1</v>
      </c>
      <c r="F24" s="1321" t="s">
        <v>444</v>
      </c>
      <c r="G24" s="1323">
        <v>12014</v>
      </c>
      <c r="H24" s="239">
        <f t="shared" si="5"/>
        <v>1.4E-5</v>
      </c>
      <c r="I24" s="1335">
        <v>1.4E-5</v>
      </c>
      <c r="J24" s="1335"/>
      <c r="K24" s="1336"/>
      <c r="L24" s="1322">
        <v>0.5</v>
      </c>
      <c r="M24" s="227">
        <f t="shared" si="6"/>
        <v>8.4097999999999992E-2</v>
      </c>
      <c r="N24" s="227">
        <f t="shared" si="7"/>
        <v>8.4097999999999992E-2</v>
      </c>
      <c r="O24" s="228">
        <f t="shared" si="8"/>
        <v>0</v>
      </c>
      <c r="P24" s="228">
        <f t="shared" si="9"/>
        <v>0</v>
      </c>
      <c r="Q24" s="1342">
        <v>0</v>
      </c>
    </row>
    <row r="25" spans="1:17" hidden="1" outlineLevel="1">
      <c r="A25" s="190" t="s">
        <v>815</v>
      </c>
      <c r="B25" s="1316" t="s">
        <v>438</v>
      </c>
      <c r="C25" s="1316" t="s">
        <v>593</v>
      </c>
      <c r="D25" s="1317" t="s">
        <v>427</v>
      </c>
      <c r="E25" s="1318">
        <v>1</v>
      </c>
      <c r="F25" s="1317" t="s">
        <v>868</v>
      </c>
      <c r="G25" s="1315">
        <v>1435</v>
      </c>
      <c r="H25" s="238">
        <f t="shared" si="5"/>
        <v>1.3600000000000001E-2</v>
      </c>
      <c r="I25" s="1333">
        <v>1.0200000000000001E-2</v>
      </c>
      <c r="J25" s="1333">
        <v>3.3999999999999998E-3</v>
      </c>
      <c r="K25" s="1334"/>
      <c r="L25" s="1318">
        <v>1</v>
      </c>
      <c r="M25" s="233">
        <f t="shared" si="6"/>
        <v>63.426999999999992</v>
      </c>
      <c r="N25" s="233">
        <f t="shared" si="7"/>
        <v>14.637</v>
      </c>
      <c r="O25" s="234">
        <f t="shared" si="8"/>
        <v>48.789999999999992</v>
      </c>
      <c r="P25" s="234">
        <f t="shared" si="9"/>
        <v>0</v>
      </c>
      <c r="Q25" s="1341">
        <v>0</v>
      </c>
    </row>
    <row r="26" spans="1:17" hidden="1" outlineLevel="1">
      <c r="A26" s="190" t="s">
        <v>815</v>
      </c>
      <c r="B26" s="1316" t="s">
        <v>438</v>
      </c>
      <c r="C26" s="1316" t="s">
        <v>593</v>
      </c>
      <c r="D26" s="1317" t="s">
        <v>427</v>
      </c>
      <c r="E26" s="1318">
        <v>1</v>
      </c>
      <c r="F26" s="1317" t="s">
        <v>441</v>
      </c>
      <c r="G26" s="1315">
        <v>552.89</v>
      </c>
      <c r="H26" s="238">
        <f t="shared" si="5"/>
        <v>6.1199999999999996E-3</v>
      </c>
      <c r="I26" s="1333">
        <v>6.1199999999999996E-3</v>
      </c>
      <c r="J26" s="1333"/>
      <c r="K26" s="1334"/>
      <c r="L26" s="1318">
        <v>1</v>
      </c>
      <c r="M26" s="233">
        <f t="shared" si="6"/>
        <v>3.3836867999999996</v>
      </c>
      <c r="N26" s="233">
        <f t="shared" si="7"/>
        <v>3.3836867999999996</v>
      </c>
      <c r="O26" s="234">
        <f t="shared" si="8"/>
        <v>0</v>
      </c>
      <c r="P26" s="234">
        <f t="shared" si="9"/>
        <v>0</v>
      </c>
      <c r="Q26" s="1341">
        <v>0</v>
      </c>
    </row>
    <row r="27" spans="1:17" hidden="1" outlineLevel="1">
      <c r="A27" s="190" t="s">
        <v>815</v>
      </c>
      <c r="B27" s="1316" t="s">
        <v>438</v>
      </c>
      <c r="C27" s="1316" t="s">
        <v>593</v>
      </c>
      <c r="D27" s="1317" t="s">
        <v>427</v>
      </c>
      <c r="E27" s="1318">
        <v>1</v>
      </c>
      <c r="F27" s="1317" t="s">
        <v>442</v>
      </c>
      <c r="G27" s="1315">
        <v>4582</v>
      </c>
      <c r="H27" s="238">
        <f t="shared" ref="H27:H28" si="14">SUM(I27:K27)</f>
        <v>1.1560000000000001E-3</v>
      </c>
      <c r="I27" s="1333">
        <v>6.8000000000000005E-4</v>
      </c>
      <c r="J27" s="1333">
        <v>4.7600000000000002E-4</v>
      </c>
      <c r="K27" s="1334"/>
      <c r="L27" s="1318">
        <v>1</v>
      </c>
      <c r="M27" s="233">
        <f t="shared" si="6"/>
        <v>24.926080000000002</v>
      </c>
      <c r="N27" s="233">
        <f t="shared" si="7"/>
        <v>3.1157600000000003</v>
      </c>
      <c r="O27" s="234">
        <f t="shared" si="8"/>
        <v>21.810320000000001</v>
      </c>
      <c r="P27" s="234">
        <f t="shared" si="9"/>
        <v>0</v>
      </c>
      <c r="Q27" s="1341">
        <v>0</v>
      </c>
    </row>
    <row r="28" spans="1:17" hidden="1" outlineLevel="1">
      <c r="A28" s="190" t="s">
        <v>815</v>
      </c>
      <c r="B28" s="1316" t="s">
        <v>438</v>
      </c>
      <c r="C28" s="1316" t="s">
        <v>593</v>
      </c>
      <c r="D28" s="1317" t="s">
        <v>427</v>
      </c>
      <c r="E28" s="1318">
        <v>1</v>
      </c>
      <c r="F28" s="1319" t="s">
        <v>443</v>
      </c>
      <c r="G28" s="1315">
        <v>2826</v>
      </c>
      <c r="H28" s="238">
        <f t="shared" si="14"/>
        <v>9.5200000000000007E-3</v>
      </c>
      <c r="I28" s="1333">
        <v>9.5200000000000007E-3</v>
      </c>
      <c r="J28" s="1333"/>
      <c r="K28" s="1334"/>
      <c r="L28" s="1318">
        <v>1</v>
      </c>
      <c r="M28" s="233">
        <f t="shared" ref="M28" si="15">SUM(N28:P28)-Q28</f>
        <v>26.90352</v>
      </c>
      <c r="N28" s="233">
        <f t="shared" si="0"/>
        <v>26.90352</v>
      </c>
      <c r="O28" s="234">
        <f t="shared" si="1"/>
        <v>0</v>
      </c>
      <c r="P28" s="234">
        <f t="shared" ref="P28" si="16">E28*G28*K28*L28*15</f>
        <v>0</v>
      </c>
      <c r="Q28" s="1341">
        <v>0</v>
      </c>
    </row>
    <row r="29" spans="1:17" hidden="1" outlineLevel="1">
      <c r="A29" s="190" t="s">
        <v>815</v>
      </c>
      <c r="B29" s="1316" t="s">
        <v>438</v>
      </c>
      <c r="C29" s="1316" t="s">
        <v>593</v>
      </c>
      <c r="D29" s="1317" t="s">
        <v>427</v>
      </c>
      <c r="E29" s="1318">
        <v>1</v>
      </c>
      <c r="F29" s="1317" t="s">
        <v>444</v>
      </c>
      <c r="G29" s="1315">
        <v>12014</v>
      </c>
      <c r="H29" s="238">
        <f>SUM(I29:K29)</f>
        <v>8.160000000000001E-4</v>
      </c>
      <c r="I29" s="1333">
        <v>6.8000000000000005E-4</v>
      </c>
      <c r="J29" s="1333">
        <v>1.36E-4</v>
      </c>
      <c r="K29" s="1334"/>
      <c r="L29" s="1318">
        <v>1</v>
      </c>
      <c r="M29" s="233">
        <f>SUM(N29:P29)-Q29</f>
        <v>24.508560000000003</v>
      </c>
      <c r="N29" s="233">
        <f t="shared" si="0"/>
        <v>8.1695200000000003</v>
      </c>
      <c r="O29" s="234">
        <f t="shared" si="1"/>
        <v>16.339040000000001</v>
      </c>
      <c r="P29" s="234">
        <f>E29*G29*K29*L29*15</f>
        <v>0</v>
      </c>
      <c r="Q29" s="1341">
        <v>0</v>
      </c>
    </row>
    <row r="30" spans="1:17" hidden="1" outlineLevel="1">
      <c r="A30" s="190" t="s">
        <v>815</v>
      </c>
      <c r="B30" s="1320" t="s">
        <v>438</v>
      </c>
      <c r="C30" s="1320" t="s">
        <v>593</v>
      </c>
      <c r="D30" s="1321" t="s">
        <v>427</v>
      </c>
      <c r="E30" s="1322">
        <v>1</v>
      </c>
      <c r="F30" s="1321" t="s">
        <v>445</v>
      </c>
      <c r="G30" s="1323">
        <v>24326</v>
      </c>
      <c r="H30" s="239">
        <f t="shared" ref="H30:H32" si="17">SUM(I30:K30)</f>
        <v>4.6E-5</v>
      </c>
      <c r="I30" s="1335">
        <v>4.6E-5</v>
      </c>
      <c r="J30" s="1335"/>
      <c r="K30" s="1336"/>
      <c r="L30" s="1322">
        <v>1</v>
      </c>
      <c r="M30" s="227">
        <f t="shared" ref="M30:M168" si="18">SUM(N30:P30)-Q30</f>
        <v>1.1189960000000001</v>
      </c>
      <c r="N30" s="227">
        <f t="shared" si="0"/>
        <v>1.1189960000000001</v>
      </c>
      <c r="O30" s="228">
        <f t="shared" si="1"/>
        <v>0</v>
      </c>
      <c r="P30" s="228">
        <f t="shared" ref="P30:P168" si="19">E30*G30*K30*L30*15</f>
        <v>0</v>
      </c>
      <c r="Q30" s="1342">
        <v>0</v>
      </c>
    </row>
    <row r="31" spans="1:17" hidden="1" outlineLevel="1">
      <c r="A31" s="190" t="s">
        <v>815</v>
      </c>
      <c r="B31" s="1316" t="s">
        <v>418</v>
      </c>
      <c r="C31" s="1316" t="s">
        <v>439</v>
      </c>
      <c r="D31" s="1317" t="s">
        <v>427</v>
      </c>
      <c r="E31" s="1318">
        <v>1.5</v>
      </c>
      <c r="F31" s="1317" t="s">
        <v>868</v>
      </c>
      <c r="G31" s="1315">
        <v>1435</v>
      </c>
      <c r="H31" s="238">
        <f t="shared" si="17"/>
        <v>2.3487999999999998E-2</v>
      </c>
      <c r="I31" s="1333">
        <v>2.3487999999999998E-2</v>
      </c>
      <c r="J31" s="1333"/>
      <c r="K31" s="1334"/>
      <c r="L31" s="1318">
        <v>0.5</v>
      </c>
      <c r="M31" s="233">
        <f t="shared" si="18"/>
        <v>25.278959999999998</v>
      </c>
      <c r="N31" s="233">
        <f t="shared" si="0"/>
        <v>25.278959999999998</v>
      </c>
      <c r="O31" s="234">
        <f t="shared" si="1"/>
        <v>0</v>
      </c>
      <c r="P31" s="234">
        <f t="shared" si="19"/>
        <v>0</v>
      </c>
      <c r="Q31" s="1341">
        <v>0</v>
      </c>
    </row>
    <row r="32" spans="1:17" hidden="1" outlineLevel="1">
      <c r="A32" s="190" t="s">
        <v>815</v>
      </c>
      <c r="B32" s="1316" t="s">
        <v>418</v>
      </c>
      <c r="C32" s="1316" t="s">
        <v>439</v>
      </c>
      <c r="D32" s="1317" t="s">
        <v>427</v>
      </c>
      <c r="E32" s="1318">
        <v>1.5</v>
      </c>
      <c r="F32" s="1319" t="s">
        <v>441</v>
      </c>
      <c r="G32" s="1315">
        <v>552.89</v>
      </c>
      <c r="H32" s="238">
        <f t="shared" si="17"/>
        <v>2.2020000000000001E-2</v>
      </c>
      <c r="I32" s="1333">
        <v>2.2020000000000001E-2</v>
      </c>
      <c r="J32" s="1333"/>
      <c r="K32" s="1334"/>
      <c r="L32" s="1318">
        <v>0.5</v>
      </c>
      <c r="M32" s="233">
        <f t="shared" si="18"/>
        <v>9.1309783500000012</v>
      </c>
      <c r="N32" s="233">
        <f t="shared" si="0"/>
        <v>9.1309783500000012</v>
      </c>
      <c r="O32" s="234">
        <f t="shared" si="1"/>
        <v>0</v>
      </c>
      <c r="P32" s="234">
        <f t="shared" si="19"/>
        <v>0</v>
      </c>
      <c r="Q32" s="1341">
        <v>0</v>
      </c>
    </row>
    <row r="33" spans="1:20" hidden="1" outlineLevel="1">
      <c r="A33" s="190" t="s">
        <v>815</v>
      </c>
      <c r="B33" s="1316" t="s">
        <v>418</v>
      </c>
      <c r="C33" s="1316" t="s">
        <v>439</v>
      </c>
      <c r="D33" s="1317" t="s">
        <v>427</v>
      </c>
      <c r="E33" s="1318">
        <v>1.5</v>
      </c>
      <c r="F33" s="1317" t="s">
        <v>442</v>
      </c>
      <c r="G33" s="1315">
        <v>4582</v>
      </c>
      <c r="H33" s="238">
        <f t="shared" ref="H33:H168" si="20">SUM(I33:K33)</f>
        <v>0</v>
      </c>
      <c r="I33" s="1333"/>
      <c r="J33" s="1333"/>
      <c r="K33" s="1334"/>
      <c r="L33" s="1318">
        <v>0.5</v>
      </c>
      <c r="M33" s="233">
        <f t="shared" si="18"/>
        <v>0</v>
      </c>
      <c r="N33" s="233">
        <f t="shared" si="0"/>
        <v>0</v>
      </c>
      <c r="O33" s="234">
        <f t="shared" si="1"/>
        <v>0</v>
      </c>
      <c r="P33" s="234">
        <f t="shared" si="19"/>
        <v>0</v>
      </c>
      <c r="Q33" s="1341">
        <v>0</v>
      </c>
    </row>
    <row r="34" spans="1:20" hidden="1" outlineLevel="1">
      <c r="A34" s="190" t="s">
        <v>815</v>
      </c>
      <c r="B34" s="1316" t="s">
        <v>418</v>
      </c>
      <c r="C34" s="1316" t="s">
        <v>439</v>
      </c>
      <c r="D34" s="1317" t="s">
        <v>427</v>
      </c>
      <c r="E34" s="1318">
        <v>1.5</v>
      </c>
      <c r="F34" s="1319" t="s">
        <v>443</v>
      </c>
      <c r="G34" s="1315">
        <v>2826</v>
      </c>
      <c r="H34" s="238">
        <f t="shared" si="20"/>
        <v>1.7616E-2</v>
      </c>
      <c r="I34" s="1333">
        <v>1.7616E-2</v>
      </c>
      <c r="J34" s="1333"/>
      <c r="K34" s="1334"/>
      <c r="L34" s="1318">
        <v>0.5</v>
      </c>
      <c r="M34" s="233">
        <f t="shared" si="18"/>
        <v>37.337111999999998</v>
      </c>
      <c r="N34" s="233">
        <f t="shared" si="0"/>
        <v>37.337111999999998</v>
      </c>
      <c r="O34" s="234">
        <f t="shared" si="1"/>
        <v>0</v>
      </c>
      <c r="P34" s="234">
        <f t="shared" si="19"/>
        <v>0</v>
      </c>
      <c r="Q34" s="1341">
        <v>0</v>
      </c>
    </row>
    <row r="35" spans="1:20" hidden="1" outlineLevel="1">
      <c r="A35" s="190" t="s">
        <v>815</v>
      </c>
      <c r="B35" s="1316" t="s">
        <v>418</v>
      </c>
      <c r="C35" s="1316" t="s">
        <v>439</v>
      </c>
      <c r="D35" s="1317" t="s">
        <v>427</v>
      </c>
      <c r="E35" s="1318">
        <v>1.5</v>
      </c>
      <c r="F35" s="1317" t="s">
        <v>444</v>
      </c>
      <c r="G35" s="1315">
        <v>12014</v>
      </c>
      <c r="H35" s="238">
        <f t="shared" si="20"/>
        <v>6.6100000000000002E-4</v>
      </c>
      <c r="I35" s="1333">
        <v>6.6100000000000002E-4</v>
      </c>
      <c r="J35" s="1333"/>
      <c r="K35" s="1334"/>
      <c r="L35" s="1318">
        <v>0.5</v>
      </c>
      <c r="M35" s="233">
        <f t="shared" si="18"/>
        <v>5.9559405000000005</v>
      </c>
      <c r="N35" s="233">
        <f t="shared" si="0"/>
        <v>5.9559405000000005</v>
      </c>
      <c r="O35" s="234">
        <f t="shared" si="1"/>
        <v>0</v>
      </c>
      <c r="P35" s="234">
        <f t="shared" si="19"/>
        <v>0</v>
      </c>
      <c r="Q35" s="1341">
        <v>0</v>
      </c>
    </row>
    <row r="36" spans="1:20" hidden="1" outlineLevel="1">
      <c r="A36" s="190" t="s">
        <v>815</v>
      </c>
      <c r="B36" s="1320" t="s">
        <v>418</v>
      </c>
      <c r="C36" s="1320" t="s">
        <v>439</v>
      </c>
      <c r="D36" s="1321" t="s">
        <v>427</v>
      </c>
      <c r="E36" s="1322">
        <v>1.5</v>
      </c>
      <c r="F36" s="1321" t="s">
        <v>445</v>
      </c>
      <c r="G36" s="1323">
        <v>24326</v>
      </c>
      <c r="H36" s="239">
        <f t="shared" si="20"/>
        <v>0</v>
      </c>
      <c r="I36" s="1335"/>
      <c r="J36" s="1335"/>
      <c r="K36" s="1336"/>
      <c r="L36" s="1322">
        <v>0.5</v>
      </c>
      <c r="M36" s="227">
        <f t="shared" si="18"/>
        <v>0</v>
      </c>
      <c r="N36" s="227">
        <f t="shared" si="0"/>
        <v>0</v>
      </c>
      <c r="O36" s="228">
        <f t="shared" si="1"/>
        <v>0</v>
      </c>
      <c r="P36" s="228">
        <f t="shared" si="19"/>
        <v>0</v>
      </c>
      <c r="Q36" s="1342">
        <v>0</v>
      </c>
    </row>
    <row r="37" spans="1:20" hidden="1" outlineLevel="1">
      <c r="A37" s="190" t="s">
        <v>815</v>
      </c>
      <c r="B37" s="1316" t="s">
        <v>411</v>
      </c>
      <c r="C37" s="1316" t="s">
        <v>440</v>
      </c>
      <c r="D37" s="1317" t="s">
        <v>427</v>
      </c>
      <c r="E37" s="1318">
        <v>1.5</v>
      </c>
      <c r="F37" s="1317" t="s">
        <v>868</v>
      </c>
      <c r="G37" s="1315">
        <v>1435</v>
      </c>
      <c r="H37" s="238">
        <f t="shared" si="20"/>
        <v>1.3209E-2</v>
      </c>
      <c r="I37" s="1333">
        <v>1.3209E-2</v>
      </c>
      <c r="J37" s="1333"/>
      <c r="K37" s="1334"/>
      <c r="L37" s="1318">
        <v>0.5</v>
      </c>
      <c r="M37" s="233">
        <f t="shared" si="18"/>
        <v>14.21618625</v>
      </c>
      <c r="N37" s="233">
        <f t="shared" si="0"/>
        <v>14.21618625</v>
      </c>
      <c r="O37" s="234">
        <f t="shared" si="1"/>
        <v>0</v>
      </c>
      <c r="P37" s="234">
        <f t="shared" si="19"/>
        <v>0</v>
      </c>
      <c r="Q37" s="1341">
        <v>0</v>
      </c>
    </row>
    <row r="38" spans="1:20" hidden="1" outlineLevel="1">
      <c r="A38" s="190" t="s">
        <v>815</v>
      </c>
      <c r="B38" s="1316" t="s">
        <v>411</v>
      </c>
      <c r="C38" s="1316" t="s">
        <v>440</v>
      </c>
      <c r="D38" s="1317" t="s">
        <v>427</v>
      </c>
      <c r="E38" s="1318">
        <v>1.5</v>
      </c>
      <c r="F38" s="1319" t="s">
        <v>441</v>
      </c>
      <c r="G38" s="1315">
        <v>552.89</v>
      </c>
      <c r="H38" s="238">
        <f t="shared" si="20"/>
        <v>1.0064E-2</v>
      </c>
      <c r="I38" s="1333">
        <v>1.0064E-2</v>
      </c>
      <c r="J38" s="1333"/>
      <c r="K38" s="1334"/>
      <c r="L38" s="1318">
        <v>0.5</v>
      </c>
      <c r="M38" s="235">
        <f t="shared" si="18"/>
        <v>4.1732137200000006</v>
      </c>
      <c r="N38" s="233">
        <f t="shared" si="0"/>
        <v>4.1732137200000006</v>
      </c>
      <c r="O38" s="234">
        <f t="shared" si="1"/>
        <v>0</v>
      </c>
      <c r="P38" s="234">
        <f t="shared" si="19"/>
        <v>0</v>
      </c>
      <c r="Q38" s="1341">
        <v>0</v>
      </c>
    </row>
    <row r="39" spans="1:20" hidden="1" outlineLevel="1">
      <c r="A39" s="190" t="s">
        <v>815</v>
      </c>
      <c r="B39" s="1316" t="s">
        <v>411</v>
      </c>
      <c r="C39" s="1316" t="s">
        <v>440</v>
      </c>
      <c r="D39" s="1317" t="s">
        <v>427</v>
      </c>
      <c r="E39" s="1318">
        <v>1.5</v>
      </c>
      <c r="F39" s="1317" t="s">
        <v>442</v>
      </c>
      <c r="G39" s="1315">
        <v>4582</v>
      </c>
      <c r="H39" s="238">
        <f t="shared" si="20"/>
        <v>0</v>
      </c>
      <c r="I39" s="1333"/>
      <c r="J39" s="1333"/>
      <c r="K39" s="1334"/>
      <c r="L39" s="1318">
        <v>0.5</v>
      </c>
      <c r="M39" s="235">
        <f t="shared" si="18"/>
        <v>0</v>
      </c>
      <c r="N39" s="233">
        <f t="shared" si="0"/>
        <v>0</v>
      </c>
      <c r="O39" s="234">
        <f t="shared" si="1"/>
        <v>0</v>
      </c>
      <c r="P39" s="234">
        <f t="shared" si="19"/>
        <v>0</v>
      </c>
      <c r="Q39" s="1341">
        <v>0</v>
      </c>
    </row>
    <row r="40" spans="1:20" hidden="1" outlineLevel="1">
      <c r="A40" s="190" t="s">
        <v>815</v>
      </c>
      <c r="B40" s="1316" t="s">
        <v>411</v>
      </c>
      <c r="C40" s="1316" t="s">
        <v>440</v>
      </c>
      <c r="D40" s="1317" t="s">
        <v>427</v>
      </c>
      <c r="E40" s="1318">
        <v>1.5</v>
      </c>
      <c r="F40" s="1319" t="s">
        <v>443</v>
      </c>
      <c r="G40" s="1315">
        <v>2826</v>
      </c>
      <c r="H40" s="238">
        <f t="shared" si="20"/>
        <v>1.1951E-2</v>
      </c>
      <c r="I40" s="1333">
        <v>1.1951E-2</v>
      </c>
      <c r="J40" s="1333"/>
      <c r="K40" s="1334"/>
      <c r="L40" s="1318">
        <v>0.5</v>
      </c>
      <c r="M40" s="235">
        <f t="shared" si="18"/>
        <v>25.330144499999999</v>
      </c>
      <c r="N40" s="233">
        <f t="shared" si="0"/>
        <v>25.330144499999999</v>
      </c>
      <c r="O40" s="234">
        <f t="shared" si="1"/>
        <v>0</v>
      </c>
      <c r="P40" s="234">
        <f t="shared" si="19"/>
        <v>0</v>
      </c>
      <c r="Q40" s="1341">
        <v>0</v>
      </c>
    </row>
    <row r="41" spans="1:20" hidden="1" outlineLevel="1">
      <c r="A41" s="190" t="s">
        <v>815</v>
      </c>
      <c r="B41" s="1320" t="s">
        <v>411</v>
      </c>
      <c r="C41" s="1320" t="s">
        <v>440</v>
      </c>
      <c r="D41" s="1321" t="s">
        <v>427</v>
      </c>
      <c r="E41" s="1322">
        <v>1.5</v>
      </c>
      <c r="F41" s="1321" t="s">
        <v>444</v>
      </c>
      <c r="G41" s="1323">
        <v>12014</v>
      </c>
      <c r="H41" s="239">
        <f t="shared" si="20"/>
        <v>1.0059999999999999E-3</v>
      </c>
      <c r="I41" s="1335">
        <v>1.0059999999999999E-3</v>
      </c>
      <c r="J41" s="1335"/>
      <c r="K41" s="1336"/>
      <c r="L41" s="1322">
        <v>0.5</v>
      </c>
      <c r="M41" s="227">
        <f t="shared" si="18"/>
        <v>9.0645629999999997</v>
      </c>
      <c r="N41" s="227">
        <f t="shared" si="0"/>
        <v>9.0645629999999997</v>
      </c>
      <c r="O41" s="228">
        <f t="shared" si="1"/>
        <v>0</v>
      </c>
      <c r="P41" s="228">
        <f t="shared" si="19"/>
        <v>0</v>
      </c>
      <c r="Q41" s="1342">
        <v>0</v>
      </c>
    </row>
    <row r="42" spans="1:20" hidden="1" outlineLevel="1">
      <c r="A42" s="190" t="s">
        <v>815</v>
      </c>
      <c r="B42" s="1316" t="s">
        <v>409</v>
      </c>
      <c r="C42" s="1316" t="s">
        <v>594</v>
      </c>
      <c r="D42" s="1317" t="s">
        <v>427</v>
      </c>
      <c r="E42" s="1318">
        <v>1</v>
      </c>
      <c r="F42" s="1317" t="s">
        <v>868</v>
      </c>
      <c r="G42" s="1315">
        <v>1435</v>
      </c>
      <c r="H42" s="237">
        <f t="shared" si="20"/>
        <v>3.3700000000000001E-2</v>
      </c>
      <c r="I42" s="1331">
        <v>2.6960000000000001E-2</v>
      </c>
      <c r="J42" s="1331">
        <v>6.7400000000000003E-3</v>
      </c>
      <c r="K42" s="1332"/>
      <c r="L42" s="1314">
        <v>1</v>
      </c>
      <c r="M42" s="223">
        <f t="shared" si="18"/>
        <v>135.40660000000003</v>
      </c>
      <c r="N42" s="223">
        <f t="shared" si="0"/>
        <v>38.687600000000003</v>
      </c>
      <c r="O42" s="224">
        <f t="shared" si="1"/>
        <v>96.719000000000008</v>
      </c>
      <c r="P42" s="224">
        <f t="shared" si="19"/>
        <v>0</v>
      </c>
      <c r="Q42" s="1340">
        <v>0</v>
      </c>
    </row>
    <row r="43" spans="1:20" hidden="1" outlineLevel="1">
      <c r="A43" s="190" t="s">
        <v>815</v>
      </c>
      <c r="B43" s="1316" t="s">
        <v>409</v>
      </c>
      <c r="C43" s="1316" t="s">
        <v>594</v>
      </c>
      <c r="D43" s="1317" t="s">
        <v>427</v>
      </c>
      <c r="E43" s="1318">
        <v>1</v>
      </c>
      <c r="F43" s="1319" t="s">
        <v>441</v>
      </c>
      <c r="G43" s="1315">
        <v>552.89</v>
      </c>
      <c r="H43" s="238">
        <f t="shared" si="20"/>
        <v>1.6175999999999999E-2</v>
      </c>
      <c r="I43" s="1333">
        <v>1.6175999999999999E-2</v>
      </c>
      <c r="J43" s="1333"/>
      <c r="K43" s="1334"/>
      <c r="L43" s="1318">
        <v>1</v>
      </c>
      <c r="M43" s="233">
        <f t="shared" si="18"/>
        <v>8.9435486399999995</v>
      </c>
      <c r="N43" s="233">
        <f t="shared" si="0"/>
        <v>8.9435486399999995</v>
      </c>
      <c r="O43" s="234">
        <f t="shared" si="1"/>
        <v>0</v>
      </c>
      <c r="P43" s="234">
        <f t="shared" si="19"/>
        <v>0</v>
      </c>
      <c r="Q43" s="1341">
        <v>0</v>
      </c>
    </row>
    <row r="44" spans="1:20" hidden="1" outlineLevel="1">
      <c r="A44" s="190" t="s">
        <v>815</v>
      </c>
      <c r="B44" s="1316" t="s">
        <v>409</v>
      </c>
      <c r="C44" s="1316" t="s">
        <v>594</v>
      </c>
      <c r="D44" s="1317" t="s">
        <v>427</v>
      </c>
      <c r="E44" s="1318">
        <v>1</v>
      </c>
      <c r="F44" s="1317" t="s">
        <v>442</v>
      </c>
      <c r="G44" s="1315">
        <v>4582</v>
      </c>
      <c r="H44" s="238">
        <f t="shared" si="20"/>
        <v>0</v>
      </c>
      <c r="I44" s="1333"/>
      <c r="J44" s="1333"/>
      <c r="K44" s="1334"/>
      <c r="L44" s="1318">
        <v>1</v>
      </c>
      <c r="M44" s="233">
        <f t="shared" si="18"/>
        <v>0</v>
      </c>
      <c r="N44" s="233">
        <f t="shared" si="0"/>
        <v>0</v>
      </c>
      <c r="O44" s="234">
        <f t="shared" si="1"/>
        <v>0</v>
      </c>
      <c r="P44" s="234">
        <f t="shared" si="19"/>
        <v>0</v>
      </c>
      <c r="Q44" s="1341">
        <v>0</v>
      </c>
    </row>
    <row r="45" spans="1:20" hidden="1" outlineLevel="1">
      <c r="A45" s="270" t="s">
        <v>815</v>
      </c>
      <c r="B45" s="1316" t="s">
        <v>409</v>
      </c>
      <c r="C45" s="1316" t="s">
        <v>594</v>
      </c>
      <c r="D45" s="1317" t="s">
        <v>427</v>
      </c>
      <c r="E45" s="1318">
        <v>1</v>
      </c>
      <c r="F45" s="1319" t="s">
        <v>443</v>
      </c>
      <c r="G45" s="1315">
        <v>2826</v>
      </c>
      <c r="H45" s="238">
        <f t="shared" ref="H45:H46" si="21">SUM(I45:K45)</f>
        <v>2.5611999999999999E-2</v>
      </c>
      <c r="I45" s="1333">
        <v>2.5611999999999999E-2</v>
      </c>
      <c r="J45" s="1333"/>
      <c r="K45" s="1334"/>
      <c r="L45" s="1318">
        <v>1</v>
      </c>
      <c r="M45" s="233">
        <f t="shared" ref="M45:M46" si="22">SUM(N45:P45)-Q45</f>
        <v>72.379511999999991</v>
      </c>
      <c r="N45" s="233">
        <f t="shared" ref="N45:N46" si="23">E45*G45*I45*L45</f>
        <v>72.379511999999991</v>
      </c>
      <c r="O45" s="234">
        <f t="shared" ref="O45:O46" si="24">E45*G45*J45*L45*10</f>
        <v>0</v>
      </c>
      <c r="P45" s="234">
        <f t="shared" ref="P45:P46" si="25">E45*G45*K45*L45*15</f>
        <v>0</v>
      </c>
      <c r="Q45" s="1341">
        <v>0</v>
      </c>
    </row>
    <row r="46" spans="1:20" hidden="1" outlineLevel="1">
      <c r="A46" s="191" t="s">
        <v>815</v>
      </c>
      <c r="B46" s="1320" t="s">
        <v>409</v>
      </c>
      <c r="C46" s="1320" t="s">
        <v>594</v>
      </c>
      <c r="D46" s="1321" t="s">
        <v>427</v>
      </c>
      <c r="E46" s="1322">
        <v>1</v>
      </c>
      <c r="F46" s="1321" t="s">
        <v>444</v>
      </c>
      <c r="G46" s="1323">
        <v>12014</v>
      </c>
      <c r="H46" s="239">
        <f t="shared" si="21"/>
        <v>3.8419999999999999E-3</v>
      </c>
      <c r="I46" s="1335">
        <v>3.8419999999999999E-3</v>
      </c>
      <c r="J46" s="1335"/>
      <c r="K46" s="1336"/>
      <c r="L46" s="1322">
        <v>1</v>
      </c>
      <c r="M46" s="227">
        <f t="shared" si="22"/>
        <v>46.157787999999996</v>
      </c>
      <c r="N46" s="227">
        <f t="shared" si="23"/>
        <v>46.157787999999996</v>
      </c>
      <c r="O46" s="228">
        <f t="shared" si="24"/>
        <v>0</v>
      </c>
      <c r="P46" s="228">
        <f t="shared" si="25"/>
        <v>0</v>
      </c>
      <c r="Q46" s="1342">
        <v>0</v>
      </c>
      <c r="R46" s="512">
        <f>SUM(M7:M46)</f>
        <v>784.63022350999995</v>
      </c>
    </row>
    <row r="47" spans="1:20" hidden="1" outlineLevel="1">
      <c r="A47" s="190" t="s">
        <v>815</v>
      </c>
      <c r="B47" s="1316" t="s">
        <v>434</v>
      </c>
      <c r="C47" s="1316" t="s">
        <v>435</v>
      </c>
      <c r="D47" s="1317" t="s">
        <v>431</v>
      </c>
      <c r="E47" s="1318">
        <v>1</v>
      </c>
      <c r="F47" s="1317" t="s">
        <v>868</v>
      </c>
      <c r="G47" s="1315">
        <v>1435</v>
      </c>
      <c r="H47" s="238">
        <f t="shared" si="20"/>
        <v>0.13292399999999999</v>
      </c>
      <c r="I47" s="1333">
        <v>0.13292399999999999</v>
      </c>
      <c r="J47" s="1333"/>
      <c r="K47" s="1334"/>
      <c r="L47" s="1318">
        <v>1</v>
      </c>
      <c r="M47" s="233">
        <f t="shared" si="18"/>
        <v>190.74593999999999</v>
      </c>
      <c r="N47" s="233">
        <f t="shared" si="0"/>
        <v>190.74593999999999</v>
      </c>
      <c r="O47" s="234">
        <f t="shared" si="1"/>
        <v>0</v>
      </c>
      <c r="P47" s="234">
        <f t="shared" si="19"/>
        <v>0</v>
      </c>
      <c r="Q47" s="1341">
        <v>0</v>
      </c>
      <c r="T47" s="519"/>
    </row>
    <row r="48" spans="1:20" hidden="1" outlineLevel="1">
      <c r="A48" s="190" t="s">
        <v>815</v>
      </c>
      <c r="B48" s="1316" t="s">
        <v>434</v>
      </c>
      <c r="C48" s="1316" t="s">
        <v>435</v>
      </c>
      <c r="D48" s="1317" t="s">
        <v>431</v>
      </c>
      <c r="E48" s="1318">
        <v>1</v>
      </c>
      <c r="F48" s="1319" t="s">
        <v>441</v>
      </c>
      <c r="G48" s="1315">
        <v>552.89</v>
      </c>
      <c r="H48" s="238">
        <f t="shared" si="20"/>
        <v>0.114798</v>
      </c>
      <c r="I48" s="1333">
        <v>0.114798</v>
      </c>
      <c r="J48" s="1333"/>
      <c r="K48" s="1334"/>
      <c r="L48" s="1318">
        <v>1</v>
      </c>
      <c r="M48" s="233">
        <f t="shared" si="18"/>
        <v>63.470666219999998</v>
      </c>
      <c r="N48" s="233">
        <f t="shared" si="0"/>
        <v>63.470666219999998</v>
      </c>
      <c r="O48" s="234">
        <f t="shared" si="1"/>
        <v>0</v>
      </c>
      <c r="P48" s="234">
        <f t="shared" si="19"/>
        <v>0</v>
      </c>
      <c r="Q48" s="1341">
        <v>0</v>
      </c>
      <c r="T48" s="519"/>
    </row>
    <row r="49" spans="1:20" hidden="1" outlineLevel="1">
      <c r="A49" s="190" t="s">
        <v>815</v>
      </c>
      <c r="B49" s="1316" t="s">
        <v>434</v>
      </c>
      <c r="C49" s="1316" t="s">
        <v>435</v>
      </c>
      <c r="D49" s="1317" t="s">
        <v>431</v>
      </c>
      <c r="E49" s="1318">
        <v>1</v>
      </c>
      <c r="F49" s="1319" t="s">
        <v>442</v>
      </c>
      <c r="G49" s="1315">
        <v>4582</v>
      </c>
      <c r="H49" s="238">
        <f t="shared" si="20"/>
        <v>0</v>
      </c>
      <c r="I49" s="1333"/>
      <c r="J49" s="1333"/>
      <c r="K49" s="1334"/>
      <c r="L49" s="1318">
        <v>1</v>
      </c>
      <c r="M49" s="233">
        <f t="shared" si="18"/>
        <v>0</v>
      </c>
      <c r="N49" s="233">
        <f t="shared" si="0"/>
        <v>0</v>
      </c>
      <c r="O49" s="234">
        <f t="shared" si="1"/>
        <v>0</v>
      </c>
      <c r="P49" s="234">
        <f t="shared" si="19"/>
        <v>0</v>
      </c>
      <c r="Q49" s="1341">
        <v>0</v>
      </c>
      <c r="T49" s="519"/>
    </row>
    <row r="50" spans="1:20" hidden="1" outlineLevel="1">
      <c r="A50" s="190" t="s">
        <v>815</v>
      </c>
      <c r="B50" s="1316" t="s">
        <v>434</v>
      </c>
      <c r="C50" s="1316" t="s">
        <v>435</v>
      </c>
      <c r="D50" s="1317" t="s">
        <v>431</v>
      </c>
      <c r="E50" s="1318">
        <v>1</v>
      </c>
      <c r="F50" s="1319" t="s">
        <v>443</v>
      </c>
      <c r="G50" s="1315">
        <v>2826</v>
      </c>
      <c r="H50" s="238">
        <f t="shared" si="20"/>
        <v>0.10875600000000001</v>
      </c>
      <c r="I50" s="1333">
        <v>0.10875600000000001</v>
      </c>
      <c r="J50" s="1333"/>
      <c r="K50" s="1334"/>
      <c r="L50" s="1318">
        <v>1</v>
      </c>
      <c r="M50" s="233">
        <f t="shared" si="18"/>
        <v>307.34445600000004</v>
      </c>
      <c r="N50" s="233">
        <f t="shared" si="0"/>
        <v>307.34445600000004</v>
      </c>
      <c r="O50" s="234">
        <f t="shared" si="1"/>
        <v>0</v>
      </c>
      <c r="P50" s="234">
        <f t="shared" si="19"/>
        <v>0</v>
      </c>
      <c r="Q50" s="1341">
        <v>0</v>
      </c>
      <c r="T50" s="519"/>
    </row>
    <row r="51" spans="1:20" hidden="1" outlineLevel="1">
      <c r="A51" s="190" t="s">
        <v>815</v>
      </c>
      <c r="B51" s="1316" t="s">
        <v>434</v>
      </c>
      <c r="C51" s="1316" t="s">
        <v>435</v>
      </c>
      <c r="D51" s="1317" t="s">
        <v>431</v>
      </c>
      <c r="E51" s="1318">
        <v>1</v>
      </c>
      <c r="F51" s="1317" t="s">
        <v>444</v>
      </c>
      <c r="G51" s="1315">
        <v>12014</v>
      </c>
      <c r="H51" s="238">
        <f t="shared" si="20"/>
        <v>1.9938999999999998E-2</v>
      </c>
      <c r="I51" s="1333">
        <v>1.2083999999999999E-2</v>
      </c>
      <c r="J51" s="1333">
        <v>7.8549999999999991E-3</v>
      </c>
      <c r="K51" s="1334"/>
      <c r="L51" s="1318">
        <v>1</v>
      </c>
      <c r="M51" s="233">
        <f t="shared" si="18"/>
        <v>1088.8768759999998</v>
      </c>
      <c r="N51" s="233">
        <f t="shared" si="0"/>
        <v>145.177176</v>
      </c>
      <c r="O51" s="234">
        <f t="shared" si="1"/>
        <v>943.69969999999989</v>
      </c>
      <c r="P51" s="234">
        <f t="shared" si="19"/>
        <v>0</v>
      </c>
      <c r="Q51" s="1341">
        <v>0</v>
      </c>
      <c r="T51" s="519"/>
    </row>
    <row r="52" spans="1:20" hidden="1" outlineLevel="1">
      <c r="A52" s="190" t="s">
        <v>815</v>
      </c>
      <c r="B52" s="1320" t="s">
        <v>434</v>
      </c>
      <c r="C52" s="1320" t="s">
        <v>435</v>
      </c>
      <c r="D52" s="1321" t="s">
        <v>431</v>
      </c>
      <c r="E52" s="1322">
        <v>1</v>
      </c>
      <c r="F52" s="1324" t="s">
        <v>445</v>
      </c>
      <c r="G52" s="1323">
        <v>24326</v>
      </c>
      <c r="H52" s="239">
        <f t="shared" si="20"/>
        <v>4.5000000000000003E-5</v>
      </c>
      <c r="I52" s="1335">
        <v>4.5000000000000003E-5</v>
      </c>
      <c r="J52" s="1335"/>
      <c r="K52" s="1336"/>
      <c r="L52" s="1322">
        <v>1</v>
      </c>
      <c r="M52" s="227">
        <f t="shared" ref="M52:M75" si="26">SUM(N52:P52)-Q52</f>
        <v>1.09467</v>
      </c>
      <c r="N52" s="227">
        <f t="shared" ref="N52:N75" si="27">E52*G52*I52*L52</f>
        <v>1.09467</v>
      </c>
      <c r="O52" s="228">
        <f t="shared" ref="O52:O75" si="28">E52*G52*J52*L52*10</f>
        <v>0</v>
      </c>
      <c r="P52" s="228">
        <f t="shared" ref="P52:P75" si="29">E52*G52*K52*L52*15</f>
        <v>0</v>
      </c>
      <c r="Q52" s="1342">
        <v>0</v>
      </c>
      <c r="T52" s="519"/>
    </row>
    <row r="53" spans="1:20" hidden="1" outlineLevel="1">
      <c r="A53" s="190" t="s">
        <v>815</v>
      </c>
      <c r="B53" s="1308" t="s">
        <v>869</v>
      </c>
      <c r="C53" s="1308" t="s">
        <v>870</v>
      </c>
      <c r="D53" s="1309" t="s">
        <v>431</v>
      </c>
      <c r="E53" s="1310">
        <v>1</v>
      </c>
      <c r="F53" s="1450" t="s">
        <v>441</v>
      </c>
      <c r="G53" s="1315">
        <v>552.89</v>
      </c>
      <c r="H53" s="778">
        <f t="shared" ref="H53:H55" si="30">SUM(I53:K53)</f>
        <v>0</v>
      </c>
      <c r="I53" s="1489"/>
      <c r="J53" s="1489"/>
      <c r="K53" s="1489"/>
      <c r="L53" s="1310">
        <v>0.5</v>
      </c>
      <c r="M53" s="1451">
        <f t="shared" si="26"/>
        <v>0</v>
      </c>
      <c r="N53" s="1452">
        <v>0</v>
      </c>
      <c r="O53" s="1453">
        <f t="shared" ref="O53:O57" si="31">E53*G53*J53</f>
        <v>0</v>
      </c>
      <c r="P53" s="1453"/>
      <c r="Q53" s="1339">
        <v>0</v>
      </c>
      <c r="T53" s="519"/>
    </row>
    <row r="54" spans="1:20" hidden="1" outlineLevel="1">
      <c r="A54" s="190" t="s">
        <v>815</v>
      </c>
      <c r="B54" s="1320" t="s">
        <v>869</v>
      </c>
      <c r="C54" s="1320" t="s">
        <v>870</v>
      </c>
      <c r="D54" s="1321" t="s">
        <v>431</v>
      </c>
      <c r="E54" s="1322">
        <v>1</v>
      </c>
      <c r="F54" s="1324" t="s">
        <v>442</v>
      </c>
      <c r="G54" s="1323">
        <v>4582</v>
      </c>
      <c r="H54" s="239">
        <f t="shared" si="30"/>
        <v>0</v>
      </c>
      <c r="I54" s="1482"/>
      <c r="J54" s="1482"/>
      <c r="K54" s="1482"/>
      <c r="L54" s="1322">
        <v>0.5</v>
      </c>
      <c r="M54" s="520">
        <f t="shared" si="26"/>
        <v>0</v>
      </c>
      <c r="N54" s="521">
        <v>0</v>
      </c>
      <c r="O54" s="522">
        <f t="shared" si="31"/>
        <v>0</v>
      </c>
      <c r="P54" s="522"/>
      <c r="Q54" s="1342">
        <v>0</v>
      </c>
      <c r="T54" s="519"/>
    </row>
    <row r="55" spans="1:20" hidden="1" outlineLevel="1">
      <c r="A55" s="190" t="s">
        <v>815</v>
      </c>
      <c r="B55" s="1320" t="s">
        <v>1301</v>
      </c>
      <c r="C55" s="1320" t="s">
        <v>867</v>
      </c>
      <c r="D55" s="1321" t="s">
        <v>431</v>
      </c>
      <c r="E55" s="1322">
        <v>1.5</v>
      </c>
      <c r="F55" s="1324" t="s">
        <v>441</v>
      </c>
      <c r="G55" s="1323">
        <v>552.89</v>
      </c>
      <c r="H55" s="239">
        <f t="shared" si="30"/>
        <v>4.5919999999999997E-3</v>
      </c>
      <c r="I55" s="1338">
        <v>3.2799999999999999E-3</v>
      </c>
      <c r="J55" s="1338">
        <v>1.312E-3</v>
      </c>
      <c r="K55" s="1482"/>
      <c r="L55" s="1322">
        <v>1</v>
      </c>
      <c r="M55" s="520">
        <f t="shared" si="26"/>
        <v>1.08808752</v>
      </c>
      <c r="N55" s="521">
        <v>0</v>
      </c>
      <c r="O55" s="522">
        <f t="shared" si="31"/>
        <v>1.08808752</v>
      </c>
      <c r="P55" s="522"/>
      <c r="Q55" s="1342">
        <v>0</v>
      </c>
      <c r="T55" s="519"/>
    </row>
    <row r="56" spans="1:20" hidden="1" outlineLevel="1">
      <c r="A56" s="190" t="s">
        <v>815</v>
      </c>
      <c r="B56" s="1325" t="s">
        <v>620</v>
      </c>
      <c r="C56" s="1325" t="s">
        <v>621</v>
      </c>
      <c r="D56" s="1321" t="s">
        <v>431</v>
      </c>
      <c r="E56" s="1327">
        <v>1</v>
      </c>
      <c r="F56" s="1324" t="s">
        <v>441</v>
      </c>
      <c r="G56" s="1323">
        <v>552.89</v>
      </c>
      <c r="H56" s="239">
        <f t="shared" ref="H56:H57" si="32">SUM(I56:K56)</f>
        <v>2.155E-2</v>
      </c>
      <c r="I56" s="1338">
        <v>1.7239999999999998E-2</v>
      </c>
      <c r="J56" s="1338">
        <v>4.3099999999999996E-3</v>
      </c>
      <c r="K56" s="1338"/>
      <c r="L56" s="1322">
        <v>1</v>
      </c>
      <c r="M56" s="520">
        <f t="shared" si="26"/>
        <v>2.3829558999999998</v>
      </c>
      <c r="N56" s="521">
        <v>0</v>
      </c>
      <c r="O56" s="522">
        <f t="shared" si="31"/>
        <v>2.3829558999999998</v>
      </c>
      <c r="P56" s="522"/>
      <c r="Q56" s="1342">
        <v>0</v>
      </c>
      <c r="T56" s="519"/>
    </row>
    <row r="57" spans="1:20" hidden="1" outlineLevel="1">
      <c r="A57" s="190" t="s">
        <v>815</v>
      </c>
      <c r="B57" s="1325" t="s">
        <v>622</v>
      </c>
      <c r="C57" s="1325" t="s">
        <v>619</v>
      </c>
      <c r="D57" s="1321" t="s">
        <v>431</v>
      </c>
      <c r="E57" s="1327">
        <v>1</v>
      </c>
      <c r="F57" s="1324" t="s">
        <v>441</v>
      </c>
      <c r="G57" s="1323">
        <v>552.89</v>
      </c>
      <c r="H57" s="239">
        <f t="shared" si="32"/>
        <v>0</v>
      </c>
      <c r="I57" s="1482"/>
      <c r="J57" s="1338"/>
      <c r="K57" s="1338"/>
      <c r="L57" s="1322">
        <v>0.5</v>
      </c>
      <c r="M57" s="520">
        <f t="shared" si="26"/>
        <v>0</v>
      </c>
      <c r="N57" s="521">
        <v>0</v>
      </c>
      <c r="O57" s="522">
        <f t="shared" si="31"/>
        <v>0</v>
      </c>
      <c r="P57" s="522"/>
      <c r="Q57" s="1342">
        <v>0</v>
      </c>
      <c r="T57" s="519"/>
    </row>
    <row r="58" spans="1:20" hidden="1" outlineLevel="1">
      <c r="A58" s="190" t="s">
        <v>815</v>
      </c>
      <c r="B58" s="1316" t="s">
        <v>436</v>
      </c>
      <c r="C58" s="1316" t="s">
        <v>591</v>
      </c>
      <c r="D58" s="1317" t="s">
        <v>431</v>
      </c>
      <c r="E58" s="1318">
        <v>1</v>
      </c>
      <c r="F58" s="1319" t="s">
        <v>868</v>
      </c>
      <c r="G58" s="1315">
        <v>1435</v>
      </c>
      <c r="H58" s="238">
        <f t="shared" si="20"/>
        <v>0</v>
      </c>
      <c r="I58" s="1333"/>
      <c r="J58" s="1333"/>
      <c r="K58" s="1334"/>
      <c r="L58" s="1318">
        <v>0.5</v>
      </c>
      <c r="M58" s="233">
        <f t="shared" si="26"/>
        <v>0</v>
      </c>
      <c r="N58" s="233">
        <f t="shared" si="27"/>
        <v>0</v>
      </c>
      <c r="O58" s="234">
        <f t="shared" si="28"/>
        <v>0</v>
      </c>
      <c r="P58" s="234">
        <f t="shared" si="29"/>
        <v>0</v>
      </c>
      <c r="Q58" s="1341">
        <v>0</v>
      </c>
      <c r="T58" s="519"/>
    </row>
    <row r="59" spans="1:20" hidden="1" outlineLevel="1">
      <c r="A59" s="190" t="s">
        <v>815</v>
      </c>
      <c r="B59" s="1316" t="s">
        <v>436</v>
      </c>
      <c r="C59" s="1316" t="s">
        <v>591</v>
      </c>
      <c r="D59" s="1317" t="s">
        <v>431</v>
      </c>
      <c r="E59" s="1318">
        <v>1</v>
      </c>
      <c r="F59" s="1319" t="s">
        <v>871</v>
      </c>
      <c r="G59" s="1315">
        <v>0.19</v>
      </c>
      <c r="H59" s="1524">
        <f t="shared" si="20"/>
        <v>16380</v>
      </c>
      <c r="I59" s="1337">
        <v>16380</v>
      </c>
      <c r="J59" s="1337"/>
      <c r="K59" s="1334"/>
      <c r="L59" s="1318">
        <v>0.5</v>
      </c>
      <c r="M59" s="233">
        <f t="shared" si="26"/>
        <v>1556.1</v>
      </c>
      <c r="N59" s="233">
        <f t="shared" si="27"/>
        <v>1556.1</v>
      </c>
      <c r="O59" s="234">
        <f t="shared" si="28"/>
        <v>0</v>
      </c>
      <c r="P59" s="234">
        <f t="shared" si="29"/>
        <v>0</v>
      </c>
      <c r="Q59" s="1341">
        <v>0</v>
      </c>
      <c r="T59" s="519"/>
    </row>
    <row r="60" spans="1:20" hidden="1" outlineLevel="1">
      <c r="A60" s="190" t="s">
        <v>815</v>
      </c>
      <c r="B60" s="1316" t="s">
        <v>436</v>
      </c>
      <c r="C60" s="1316" t="s">
        <v>591</v>
      </c>
      <c r="D60" s="1317" t="s">
        <v>431</v>
      </c>
      <c r="E60" s="1318">
        <v>1</v>
      </c>
      <c r="F60" s="1317" t="s">
        <v>441</v>
      </c>
      <c r="G60" s="1315">
        <v>552.89</v>
      </c>
      <c r="H60" s="238">
        <f t="shared" si="20"/>
        <v>0</v>
      </c>
      <c r="I60" s="1333"/>
      <c r="J60" s="1333"/>
      <c r="K60" s="1334"/>
      <c r="L60" s="1318">
        <v>0.5</v>
      </c>
      <c r="M60" s="233">
        <f t="shared" si="26"/>
        <v>0</v>
      </c>
      <c r="N60" s="233">
        <f t="shared" si="27"/>
        <v>0</v>
      </c>
      <c r="O60" s="234">
        <f t="shared" si="28"/>
        <v>0</v>
      </c>
      <c r="P60" s="234">
        <f t="shared" si="29"/>
        <v>0</v>
      </c>
      <c r="Q60" s="1341">
        <v>0</v>
      </c>
      <c r="T60" s="519"/>
    </row>
    <row r="61" spans="1:20" hidden="1" outlineLevel="1">
      <c r="A61" s="190" t="s">
        <v>815</v>
      </c>
      <c r="B61" s="1316" t="s">
        <v>436</v>
      </c>
      <c r="C61" s="1316" t="s">
        <v>591</v>
      </c>
      <c r="D61" s="1317" t="s">
        <v>431</v>
      </c>
      <c r="E61" s="1318">
        <v>1</v>
      </c>
      <c r="F61" s="1319" t="s">
        <v>443</v>
      </c>
      <c r="G61" s="1315">
        <v>2826</v>
      </c>
      <c r="H61" s="238">
        <f t="shared" si="20"/>
        <v>0</v>
      </c>
      <c r="I61" s="1333"/>
      <c r="J61" s="1333"/>
      <c r="K61" s="1334"/>
      <c r="L61" s="1318">
        <v>0.5</v>
      </c>
      <c r="M61" s="233">
        <f t="shared" si="26"/>
        <v>0</v>
      </c>
      <c r="N61" s="233">
        <f t="shared" si="27"/>
        <v>0</v>
      </c>
      <c r="O61" s="234">
        <f t="shared" si="28"/>
        <v>0</v>
      </c>
      <c r="P61" s="234">
        <f t="shared" si="29"/>
        <v>0</v>
      </c>
      <c r="Q61" s="1341">
        <v>0</v>
      </c>
      <c r="T61" s="519"/>
    </row>
    <row r="62" spans="1:20" hidden="1" outlineLevel="1">
      <c r="A62" s="190" t="s">
        <v>815</v>
      </c>
      <c r="B62" s="1320" t="s">
        <v>436</v>
      </c>
      <c r="C62" s="1320" t="s">
        <v>591</v>
      </c>
      <c r="D62" s="1321" t="s">
        <v>431</v>
      </c>
      <c r="E62" s="1322">
        <v>1</v>
      </c>
      <c r="F62" s="1324" t="s">
        <v>444</v>
      </c>
      <c r="G62" s="1323">
        <v>12014</v>
      </c>
      <c r="H62" s="239">
        <f t="shared" si="20"/>
        <v>0</v>
      </c>
      <c r="I62" s="1335"/>
      <c r="J62" s="1335"/>
      <c r="K62" s="1336"/>
      <c r="L62" s="1322">
        <v>0.5</v>
      </c>
      <c r="M62" s="227">
        <f t="shared" si="26"/>
        <v>0</v>
      </c>
      <c r="N62" s="227">
        <f t="shared" si="27"/>
        <v>0</v>
      </c>
      <c r="O62" s="228">
        <f t="shared" si="28"/>
        <v>0</v>
      </c>
      <c r="P62" s="228">
        <f t="shared" si="29"/>
        <v>0</v>
      </c>
      <c r="Q62" s="1342">
        <v>0</v>
      </c>
      <c r="T62" s="519"/>
    </row>
    <row r="63" spans="1:20" hidden="1" outlineLevel="1">
      <c r="A63" s="190" t="s">
        <v>815</v>
      </c>
      <c r="B63" s="1316" t="s">
        <v>437</v>
      </c>
      <c r="C63" s="1316" t="s">
        <v>592</v>
      </c>
      <c r="D63" s="1317" t="s">
        <v>431</v>
      </c>
      <c r="E63" s="1318">
        <v>1</v>
      </c>
      <c r="F63" s="1319" t="s">
        <v>868</v>
      </c>
      <c r="G63" s="1315">
        <v>1435</v>
      </c>
      <c r="H63" s="238">
        <f t="shared" si="20"/>
        <v>4.5399999999999998E-4</v>
      </c>
      <c r="I63" s="1333">
        <v>4.5399999999999998E-4</v>
      </c>
      <c r="J63" s="1333"/>
      <c r="K63" s="1334"/>
      <c r="L63" s="1318">
        <v>0.5</v>
      </c>
      <c r="M63" s="233">
        <f t="shared" si="26"/>
        <v>0.32574500000000001</v>
      </c>
      <c r="N63" s="233">
        <f t="shared" si="27"/>
        <v>0.32574500000000001</v>
      </c>
      <c r="O63" s="234">
        <f t="shared" si="28"/>
        <v>0</v>
      </c>
      <c r="P63" s="234">
        <f t="shared" si="29"/>
        <v>0</v>
      </c>
      <c r="Q63" s="1341">
        <v>0</v>
      </c>
      <c r="T63" s="519"/>
    </row>
    <row r="64" spans="1:20" hidden="1" outlineLevel="1">
      <c r="A64" s="190" t="s">
        <v>815</v>
      </c>
      <c r="B64" s="1316" t="s">
        <v>437</v>
      </c>
      <c r="C64" s="1316" t="s">
        <v>592</v>
      </c>
      <c r="D64" s="1317" t="s">
        <v>431</v>
      </c>
      <c r="E64" s="1318">
        <v>1</v>
      </c>
      <c r="F64" s="1319" t="s">
        <v>441</v>
      </c>
      <c r="G64" s="1315">
        <v>552.89</v>
      </c>
      <c r="H64" s="238">
        <f t="shared" si="20"/>
        <v>7.5600000000000005E-4</v>
      </c>
      <c r="I64" s="1333">
        <v>7.5600000000000005E-4</v>
      </c>
      <c r="J64" s="1333"/>
      <c r="K64" s="1334"/>
      <c r="L64" s="1318">
        <v>0.5</v>
      </c>
      <c r="M64" s="233">
        <f t="shared" si="26"/>
        <v>0.20899242000000001</v>
      </c>
      <c r="N64" s="233">
        <f t="shared" si="27"/>
        <v>0.20899242000000001</v>
      </c>
      <c r="O64" s="234">
        <f t="shared" si="28"/>
        <v>0</v>
      </c>
      <c r="P64" s="234">
        <f t="shared" si="29"/>
        <v>0</v>
      </c>
      <c r="Q64" s="1341">
        <v>0</v>
      </c>
      <c r="T64" s="519"/>
    </row>
    <row r="65" spans="1:20" hidden="1" outlineLevel="1">
      <c r="A65" s="190" t="s">
        <v>815</v>
      </c>
      <c r="B65" s="1316" t="s">
        <v>437</v>
      </c>
      <c r="C65" s="1316" t="s">
        <v>592</v>
      </c>
      <c r="D65" s="1317" t="s">
        <v>431</v>
      </c>
      <c r="E65" s="1318">
        <v>1</v>
      </c>
      <c r="F65" s="1317" t="s">
        <v>443</v>
      </c>
      <c r="G65" s="1315">
        <v>2826</v>
      </c>
      <c r="H65" s="238">
        <f t="shared" si="20"/>
        <v>0</v>
      </c>
      <c r="I65" s="1333"/>
      <c r="J65" s="1333"/>
      <c r="K65" s="1334"/>
      <c r="L65" s="1318">
        <v>0.5</v>
      </c>
      <c r="M65" s="233">
        <f t="shared" si="26"/>
        <v>0</v>
      </c>
      <c r="N65" s="233">
        <f t="shared" si="27"/>
        <v>0</v>
      </c>
      <c r="O65" s="234">
        <f t="shared" si="28"/>
        <v>0</v>
      </c>
      <c r="P65" s="234">
        <f t="shared" si="29"/>
        <v>0</v>
      </c>
      <c r="Q65" s="1341">
        <v>0</v>
      </c>
      <c r="T65" s="519"/>
    </row>
    <row r="66" spans="1:20" hidden="1" outlineLevel="1">
      <c r="A66" s="190" t="s">
        <v>815</v>
      </c>
      <c r="B66" s="1320" t="s">
        <v>437</v>
      </c>
      <c r="C66" s="1320" t="s">
        <v>592</v>
      </c>
      <c r="D66" s="1321" t="s">
        <v>431</v>
      </c>
      <c r="E66" s="1322">
        <v>1</v>
      </c>
      <c r="F66" s="1324" t="s">
        <v>444</v>
      </c>
      <c r="G66" s="1323">
        <v>12014</v>
      </c>
      <c r="H66" s="239">
        <f t="shared" si="20"/>
        <v>1.2999999999999999E-5</v>
      </c>
      <c r="I66" s="1335">
        <v>1.2999999999999999E-5</v>
      </c>
      <c r="J66" s="1335"/>
      <c r="K66" s="1336"/>
      <c r="L66" s="1322">
        <v>0.5</v>
      </c>
      <c r="M66" s="227">
        <f t="shared" si="26"/>
        <v>7.8090999999999994E-2</v>
      </c>
      <c r="N66" s="227">
        <f t="shared" si="27"/>
        <v>7.8090999999999994E-2</v>
      </c>
      <c r="O66" s="228">
        <f t="shared" si="28"/>
        <v>0</v>
      </c>
      <c r="P66" s="228">
        <f t="shared" si="29"/>
        <v>0</v>
      </c>
      <c r="Q66" s="1342">
        <v>0</v>
      </c>
      <c r="T66" s="519"/>
    </row>
    <row r="67" spans="1:20" hidden="1" outlineLevel="1">
      <c r="A67" s="190" t="s">
        <v>815</v>
      </c>
      <c r="B67" s="1316" t="s">
        <v>438</v>
      </c>
      <c r="C67" s="1316" t="s">
        <v>593</v>
      </c>
      <c r="D67" s="1317" t="s">
        <v>431</v>
      </c>
      <c r="E67" s="1318">
        <v>1</v>
      </c>
      <c r="F67" s="1319" t="s">
        <v>868</v>
      </c>
      <c r="G67" s="1315">
        <v>1435</v>
      </c>
      <c r="H67" s="238">
        <f t="shared" si="20"/>
        <v>1.5363999999999999E-2</v>
      </c>
      <c r="I67" s="1333">
        <v>1.0019999999999999E-2</v>
      </c>
      <c r="J67" s="1333">
        <v>5.3439999999999998E-3</v>
      </c>
      <c r="K67" s="1334"/>
      <c r="L67" s="1318">
        <v>1</v>
      </c>
      <c r="M67" s="233">
        <f t="shared" si="26"/>
        <v>91.065099999999987</v>
      </c>
      <c r="N67" s="233">
        <f t="shared" si="27"/>
        <v>14.378699999999998</v>
      </c>
      <c r="O67" s="234">
        <f t="shared" si="28"/>
        <v>76.686399999999992</v>
      </c>
      <c r="P67" s="234">
        <f t="shared" si="29"/>
        <v>0</v>
      </c>
      <c r="Q67" s="1341">
        <v>0</v>
      </c>
      <c r="T67" s="519"/>
    </row>
    <row r="68" spans="1:20" hidden="1" outlineLevel="1">
      <c r="A68" s="190" t="s">
        <v>815</v>
      </c>
      <c r="B68" s="1316" t="s">
        <v>438</v>
      </c>
      <c r="C68" s="1316" t="s">
        <v>593</v>
      </c>
      <c r="D68" s="1317" t="s">
        <v>431</v>
      </c>
      <c r="E68" s="1318">
        <v>1</v>
      </c>
      <c r="F68" s="1317" t="s">
        <v>441</v>
      </c>
      <c r="G68" s="1315">
        <v>552.89</v>
      </c>
      <c r="H68" s="238">
        <f t="shared" si="20"/>
        <v>1.4695999999999999E-2</v>
      </c>
      <c r="I68" s="1333">
        <v>1.0019999999999999E-2</v>
      </c>
      <c r="J68" s="1333">
        <v>4.6759999999999996E-3</v>
      </c>
      <c r="K68" s="1334"/>
      <c r="L68" s="1318">
        <v>1</v>
      </c>
      <c r="M68" s="233">
        <f t="shared" si="26"/>
        <v>31.393094199999997</v>
      </c>
      <c r="N68" s="233">
        <f t="shared" si="27"/>
        <v>5.5399577999999998</v>
      </c>
      <c r="O68" s="234">
        <f t="shared" si="28"/>
        <v>25.853136399999997</v>
      </c>
      <c r="P68" s="234">
        <f t="shared" si="29"/>
        <v>0</v>
      </c>
      <c r="Q68" s="1341">
        <v>0</v>
      </c>
      <c r="T68" s="519"/>
    </row>
    <row r="69" spans="1:20" hidden="1" outlineLevel="1">
      <c r="A69" s="190" t="s">
        <v>815</v>
      </c>
      <c r="B69" s="1316" t="s">
        <v>438</v>
      </c>
      <c r="C69" s="1316" t="s">
        <v>593</v>
      </c>
      <c r="D69" s="1317" t="s">
        <v>431</v>
      </c>
      <c r="E69" s="1318">
        <v>1</v>
      </c>
      <c r="F69" s="1319" t="s">
        <v>442</v>
      </c>
      <c r="G69" s="1315">
        <v>4582</v>
      </c>
      <c r="H69" s="238">
        <f t="shared" si="20"/>
        <v>4.6799999999999999E-4</v>
      </c>
      <c r="I69" s="1333">
        <v>4.6799999999999999E-4</v>
      </c>
      <c r="J69" s="1333"/>
      <c r="K69" s="1334"/>
      <c r="L69" s="1318">
        <v>1</v>
      </c>
      <c r="M69" s="233">
        <f t="shared" si="26"/>
        <v>2.1443759999999998</v>
      </c>
      <c r="N69" s="233">
        <f t="shared" si="27"/>
        <v>2.1443759999999998</v>
      </c>
      <c r="O69" s="234">
        <f t="shared" si="28"/>
        <v>0</v>
      </c>
      <c r="P69" s="234">
        <f t="shared" si="29"/>
        <v>0</v>
      </c>
      <c r="Q69" s="1341">
        <v>0</v>
      </c>
      <c r="T69" s="519"/>
    </row>
    <row r="70" spans="1:20" hidden="1" outlineLevel="1">
      <c r="A70" s="190" t="s">
        <v>815</v>
      </c>
      <c r="B70" s="1316" t="s">
        <v>438</v>
      </c>
      <c r="C70" s="1316" t="s">
        <v>593</v>
      </c>
      <c r="D70" s="1317" t="s">
        <v>431</v>
      </c>
      <c r="E70" s="1318">
        <v>1</v>
      </c>
      <c r="F70" s="1319" t="s">
        <v>443</v>
      </c>
      <c r="G70" s="1315">
        <v>2826</v>
      </c>
      <c r="H70" s="238">
        <f t="shared" si="20"/>
        <v>1.4027999999999999E-2</v>
      </c>
      <c r="I70" s="1333">
        <v>1.0019999999999999E-2</v>
      </c>
      <c r="J70" s="1333">
        <v>4.0080000000000003E-3</v>
      </c>
      <c r="K70" s="1334"/>
      <c r="L70" s="1318">
        <v>1</v>
      </c>
      <c r="M70" s="233">
        <f t="shared" si="26"/>
        <v>141.58260000000001</v>
      </c>
      <c r="N70" s="233">
        <f t="shared" si="27"/>
        <v>28.316519999999997</v>
      </c>
      <c r="O70" s="234">
        <f t="shared" si="28"/>
        <v>113.26608</v>
      </c>
      <c r="P70" s="234">
        <f t="shared" si="29"/>
        <v>0</v>
      </c>
      <c r="Q70" s="1341">
        <v>0</v>
      </c>
      <c r="T70" s="519"/>
    </row>
    <row r="71" spans="1:20" hidden="1" outlineLevel="1">
      <c r="A71" s="190" t="s">
        <v>815</v>
      </c>
      <c r="B71" s="1316" t="s">
        <v>438</v>
      </c>
      <c r="C71" s="1316" t="s">
        <v>593</v>
      </c>
      <c r="D71" s="1317" t="s">
        <v>431</v>
      </c>
      <c r="E71" s="1318">
        <v>1</v>
      </c>
      <c r="F71" s="1319" t="s">
        <v>444</v>
      </c>
      <c r="G71" s="1315">
        <v>12014</v>
      </c>
      <c r="H71" s="238">
        <f t="shared" si="20"/>
        <v>1.47E-3</v>
      </c>
      <c r="I71" s="1333">
        <v>3.3399999999999999E-4</v>
      </c>
      <c r="J71" s="1333">
        <v>1.1360000000000001E-3</v>
      </c>
      <c r="K71" s="1334"/>
      <c r="L71" s="1318">
        <v>1</v>
      </c>
      <c r="M71" s="233">
        <f t="shared" si="26"/>
        <v>140.491716</v>
      </c>
      <c r="N71" s="233">
        <f t="shared" si="27"/>
        <v>4.0126759999999999</v>
      </c>
      <c r="O71" s="234">
        <f t="shared" si="28"/>
        <v>136.47904</v>
      </c>
      <c r="P71" s="234">
        <f t="shared" si="29"/>
        <v>0</v>
      </c>
      <c r="Q71" s="1341">
        <v>0</v>
      </c>
      <c r="T71" s="519"/>
    </row>
    <row r="72" spans="1:20" hidden="1" outlineLevel="1">
      <c r="A72" s="190" t="s">
        <v>815</v>
      </c>
      <c r="B72" s="1320" t="s">
        <v>438</v>
      </c>
      <c r="C72" s="1320" t="s">
        <v>593</v>
      </c>
      <c r="D72" s="1321" t="s">
        <v>431</v>
      </c>
      <c r="E72" s="1322">
        <v>1</v>
      </c>
      <c r="F72" s="1324" t="s">
        <v>445</v>
      </c>
      <c r="G72" s="1323">
        <v>24326</v>
      </c>
      <c r="H72" s="239">
        <f t="shared" si="20"/>
        <v>7.9999999999999996E-6</v>
      </c>
      <c r="I72" s="1335">
        <v>7.9999999999999996E-6</v>
      </c>
      <c r="J72" s="1335"/>
      <c r="K72" s="1336"/>
      <c r="L72" s="1322">
        <v>1</v>
      </c>
      <c r="M72" s="227">
        <f t="shared" si="26"/>
        <v>0.194608</v>
      </c>
      <c r="N72" s="227">
        <f t="shared" si="27"/>
        <v>0.194608</v>
      </c>
      <c r="O72" s="228">
        <f t="shared" si="28"/>
        <v>0</v>
      </c>
      <c r="P72" s="228">
        <f t="shared" si="29"/>
        <v>0</v>
      </c>
      <c r="Q72" s="1342">
        <v>0</v>
      </c>
      <c r="T72" s="519"/>
    </row>
    <row r="73" spans="1:20" hidden="1" outlineLevel="1">
      <c r="A73" s="190" t="s">
        <v>815</v>
      </c>
      <c r="B73" s="1316" t="s">
        <v>418</v>
      </c>
      <c r="C73" s="1316" t="s">
        <v>439</v>
      </c>
      <c r="D73" s="1317" t="s">
        <v>431</v>
      </c>
      <c r="E73" s="1318">
        <v>1.5</v>
      </c>
      <c r="F73" s="1319" t="s">
        <v>868</v>
      </c>
      <c r="G73" s="1315">
        <v>1435</v>
      </c>
      <c r="H73" s="238">
        <f t="shared" si="20"/>
        <v>3.0953999999999999E-2</v>
      </c>
      <c r="I73" s="1333">
        <v>3.0953999999999999E-2</v>
      </c>
      <c r="J73" s="1333"/>
      <c r="K73" s="1334"/>
      <c r="L73" s="1318">
        <v>1</v>
      </c>
      <c r="M73" s="233">
        <f t="shared" si="26"/>
        <v>66.628484999999998</v>
      </c>
      <c r="N73" s="233">
        <f t="shared" si="27"/>
        <v>66.628484999999998</v>
      </c>
      <c r="O73" s="234">
        <f t="shared" si="28"/>
        <v>0</v>
      </c>
      <c r="P73" s="234">
        <f t="shared" si="29"/>
        <v>0</v>
      </c>
      <c r="Q73" s="1341">
        <v>0</v>
      </c>
      <c r="T73" s="519"/>
    </row>
    <row r="74" spans="1:20" hidden="1" outlineLevel="1">
      <c r="A74" s="190" t="s">
        <v>815</v>
      </c>
      <c r="B74" s="1316" t="s">
        <v>418</v>
      </c>
      <c r="C74" s="1316" t="s">
        <v>439</v>
      </c>
      <c r="D74" s="1317" t="s">
        <v>431</v>
      </c>
      <c r="E74" s="1318">
        <v>1.5</v>
      </c>
      <c r="F74" s="1317" t="s">
        <v>441</v>
      </c>
      <c r="G74" s="1315">
        <v>552.89</v>
      </c>
      <c r="H74" s="238">
        <f t="shared" si="20"/>
        <v>4.5024000000000002E-2</v>
      </c>
      <c r="I74" s="1333">
        <v>4.5024000000000002E-2</v>
      </c>
      <c r="J74" s="1333"/>
      <c r="K74" s="1334"/>
      <c r="L74" s="1318">
        <v>1</v>
      </c>
      <c r="M74" s="233">
        <f t="shared" si="26"/>
        <v>37.339979040000003</v>
      </c>
      <c r="N74" s="233">
        <f t="shared" si="27"/>
        <v>37.339979040000003</v>
      </c>
      <c r="O74" s="234">
        <f t="shared" si="28"/>
        <v>0</v>
      </c>
      <c r="P74" s="234">
        <f t="shared" si="29"/>
        <v>0</v>
      </c>
      <c r="Q74" s="1341">
        <v>0</v>
      </c>
      <c r="T74" s="519"/>
    </row>
    <row r="75" spans="1:20" hidden="1" outlineLevel="1">
      <c r="A75" s="190" t="s">
        <v>815</v>
      </c>
      <c r="B75" s="1316" t="s">
        <v>418</v>
      </c>
      <c r="C75" s="1316" t="s">
        <v>439</v>
      </c>
      <c r="D75" s="1317" t="s">
        <v>431</v>
      </c>
      <c r="E75" s="1318">
        <v>1.5</v>
      </c>
      <c r="F75" s="1319" t="s">
        <v>442</v>
      </c>
      <c r="G75" s="1315">
        <v>4582</v>
      </c>
      <c r="H75" s="238">
        <f t="shared" si="20"/>
        <v>5.0650000000000001E-3</v>
      </c>
      <c r="I75" s="1333">
        <v>2.8140000000000001E-3</v>
      </c>
      <c r="J75" s="1333">
        <v>2.251E-3</v>
      </c>
      <c r="K75" s="1334"/>
      <c r="L75" s="1318">
        <v>1</v>
      </c>
      <c r="M75" s="233">
        <f t="shared" si="26"/>
        <v>174.051852</v>
      </c>
      <c r="N75" s="233">
        <f t="shared" si="27"/>
        <v>19.340622</v>
      </c>
      <c r="O75" s="234">
        <f t="shared" si="28"/>
        <v>154.71123</v>
      </c>
      <c r="P75" s="234">
        <f t="shared" si="29"/>
        <v>0</v>
      </c>
      <c r="Q75" s="1341">
        <v>0</v>
      </c>
      <c r="T75" s="519"/>
    </row>
    <row r="76" spans="1:20" hidden="1" outlineLevel="1">
      <c r="A76" s="190" t="s">
        <v>815</v>
      </c>
      <c r="B76" s="1316" t="s">
        <v>418</v>
      </c>
      <c r="C76" s="1316" t="s">
        <v>439</v>
      </c>
      <c r="D76" s="1317" t="s">
        <v>431</v>
      </c>
      <c r="E76" s="1318">
        <v>1.5</v>
      </c>
      <c r="F76" s="1319" t="s">
        <v>443</v>
      </c>
      <c r="G76" s="1315">
        <v>2826</v>
      </c>
      <c r="H76" s="238">
        <f t="shared" si="20"/>
        <v>4.2209999999999998E-2</v>
      </c>
      <c r="I76" s="1333">
        <v>4.2209999999999998E-2</v>
      </c>
      <c r="J76" s="1333"/>
      <c r="K76" s="1334"/>
      <c r="L76" s="1318">
        <v>1</v>
      </c>
      <c r="M76" s="233">
        <f t="shared" si="18"/>
        <v>178.92819</v>
      </c>
      <c r="N76" s="233">
        <f t="shared" si="0"/>
        <v>178.92819</v>
      </c>
      <c r="O76" s="234">
        <f t="shared" si="1"/>
        <v>0</v>
      </c>
      <c r="P76" s="234">
        <f t="shared" si="19"/>
        <v>0</v>
      </c>
      <c r="Q76" s="1341">
        <v>0</v>
      </c>
      <c r="T76" s="519"/>
    </row>
    <row r="77" spans="1:20" hidden="1" outlineLevel="1">
      <c r="A77" s="190" t="s">
        <v>815</v>
      </c>
      <c r="B77" s="1316" t="s">
        <v>418</v>
      </c>
      <c r="C77" s="1316" t="s">
        <v>439</v>
      </c>
      <c r="D77" s="1317" t="s">
        <v>431</v>
      </c>
      <c r="E77" s="1318">
        <v>1.5</v>
      </c>
      <c r="F77" s="1319" t="s">
        <v>444</v>
      </c>
      <c r="G77" s="1315">
        <v>12014</v>
      </c>
      <c r="H77" s="238">
        <f t="shared" si="20"/>
        <v>1.126E-3</v>
      </c>
      <c r="I77" s="1333">
        <v>1.126E-3</v>
      </c>
      <c r="J77" s="1333"/>
      <c r="K77" s="1334"/>
      <c r="L77" s="1318">
        <v>1</v>
      </c>
      <c r="M77" s="233">
        <f t="shared" si="18"/>
        <v>20.291646</v>
      </c>
      <c r="N77" s="233">
        <f t="shared" si="0"/>
        <v>20.291646</v>
      </c>
      <c r="O77" s="234">
        <f t="shared" si="1"/>
        <v>0</v>
      </c>
      <c r="P77" s="234">
        <f t="shared" si="19"/>
        <v>0</v>
      </c>
      <c r="Q77" s="1341">
        <v>0</v>
      </c>
      <c r="T77" s="519"/>
    </row>
    <row r="78" spans="1:20" hidden="1" outlineLevel="1">
      <c r="A78" s="190" t="s">
        <v>815</v>
      </c>
      <c r="B78" s="1320" t="s">
        <v>418</v>
      </c>
      <c r="C78" s="1320" t="s">
        <v>439</v>
      </c>
      <c r="D78" s="1321" t="s">
        <v>431</v>
      </c>
      <c r="E78" s="1322">
        <v>1.5</v>
      </c>
      <c r="F78" s="1321" t="s">
        <v>445</v>
      </c>
      <c r="G78" s="1323">
        <v>24326</v>
      </c>
      <c r="H78" s="239">
        <f t="shared" si="20"/>
        <v>2.0999999999999999E-5</v>
      </c>
      <c r="I78" s="1335">
        <v>2.0999999999999999E-5</v>
      </c>
      <c r="J78" s="1335"/>
      <c r="K78" s="1336"/>
      <c r="L78" s="1322">
        <v>1</v>
      </c>
      <c r="M78" s="227">
        <f t="shared" si="18"/>
        <v>0.76626899999999998</v>
      </c>
      <c r="N78" s="227">
        <f t="shared" si="0"/>
        <v>0.76626899999999998</v>
      </c>
      <c r="O78" s="228">
        <f t="shared" si="1"/>
        <v>0</v>
      </c>
      <c r="P78" s="228">
        <f t="shared" si="19"/>
        <v>0</v>
      </c>
      <c r="Q78" s="1342">
        <v>0</v>
      </c>
      <c r="T78" s="519"/>
    </row>
    <row r="79" spans="1:20" hidden="1" outlineLevel="1">
      <c r="A79" s="190" t="s">
        <v>815</v>
      </c>
      <c r="B79" s="1316" t="s">
        <v>411</v>
      </c>
      <c r="C79" s="1316" t="s">
        <v>440</v>
      </c>
      <c r="D79" s="1317" t="s">
        <v>431</v>
      </c>
      <c r="E79" s="1318">
        <v>1.5</v>
      </c>
      <c r="F79" s="1319" t="s">
        <v>868</v>
      </c>
      <c r="G79" s="1315">
        <v>1435</v>
      </c>
      <c r="H79" s="238">
        <f t="shared" si="20"/>
        <v>2.1378000000000001E-2</v>
      </c>
      <c r="I79" s="1333">
        <v>2.1378000000000001E-2</v>
      </c>
      <c r="J79" s="1333"/>
      <c r="K79" s="1334"/>
      <c r="L79" s="1318">
        <v>0.5</v>
      </c>
      <c r="M79" s="233">
        <f t="shared" si="18"/>
        <v>23.008072500000001</v>
      </c>
      <c r="N79" s="233">
        <f t="shared" si="0"/>
        <v>23.008072500000001</v>
      </c>
      <c r="O79" s="234">
        <f t="shared" si="1"/>
        <v>0</v>
      </c>
      <c r="P79" s="234">
        <f t="shared" si="19"/>
        <v>0</v>
      </c>
      <c r="Q79" s="1341">
        <v>0</v>
      </c>
      <c r="T79" s="519"/>
    </row>
    <row r="80" spans="1:20" hidden="1" outlineLevel="1">
      <c r="A80" s="190" t="s">
        <v>815</v>
      </c>
      <c r="B80" s="1316" t="s">
        <v>411</v>
      </c>
      <c r="C80" s="1316" t="s">
        <v>440</v>
      </c>
      <c r="D80" s="1317" t="s">
        <v>431</v>
      </c>
      <c r="E80" s="1318">
        <v>1.5</v>
      </c>
      <c r="F80" s="1319" t="s">
        <v>441</v>
      </c>
      <c r="G80" s="1315">
        <v>552.89</v>
      </c>
      <c r="H80" s="238">
        <f t="shared" si="20"/>
        <v>1.6288E-2</v>
      </c>
      <c r="I80" s="1333">
        <v>1.6288E-2</v>
      </c>
      <c r="J80" s="1333"/>
      <c r="K80" s="1334"/>
      <c r="L80" s="1318">
        <v>0.5</v>
      </c>
      <c r="M80" s="233">
        <f t="shared" si="18"/>
        <v>6.7541042400000002</v>
      </c>
      <c r="N80" s="233">
        <f t="shared" si="0"/>
        <v>6.7541042400000002</v>
      </c>
      <c r="O80" s="234">
        <f t="shared" si="1"/>
        <v>0</v>
      </c>
      <c r="P80" s="234">
        <f t="shared" si="19"/>
        <v>0</v>
      </c>
      <c r="Q80" s="1341">
        <v>0</v>
      </c>
      <c r="T80" s="519"/>
    </row>
    <row r="81" spans="1:20" hidden="1" outlineLevel="1">
      <c r="A81" s="190" t="s">
        <v>815</v>
      </c>
      <c r="B81" s="1316" t="s">
        <v>411</v>
      </c>
      <c r="C81" s="1316" t="s">
        <v>440</v>
      </c>
      <c r="D81" s="1317" t="s">
        <v>431</v>
      </c>
      <c r="E81" s="1318">
        <v>1.5</v>
      </c>
      <c r="F81" s="1319" t="s">
        <v>442</v>
      </c>
      <c r="G81" s="1315">
        <v>4582</v>
      </c>
      <c r="H81" s="238">
        <f t="shared" si="20"/>
        <v>0</v>
      </c>
      <c r="I81" s="1333"/>
      <c r="J81" s="1333"/>
      <c r="K81" s="1334"/>
      <c r="L81" s="1318">
        <v>0.5</v>
      </c>
      <c r="M81" s="233">
        <f t="shared" si="18"/>
        <v>0</v>
      </c>
      <c r="N81" s="233">
        <f t="shared" si="0"/>
        <v>0</v>
      </c>
      <c r="O81" s="234">
        <f t="shared" si="1"/>
        <v>0</v>
      </c>
      <c r="P81" s="234">
        <f t="shared" si="19"/>
        <v>0</v>
      </c>
      <c r="Q81" s="1341">
        <v>0</v>
      </c>
      <c r="T81" s="519"/>
    </row>
    <row r="82" spans="1:20" hidden="1" outlineLevel="1">
      <c r="A82" s="190" t="s">
        <v>815</v>
      </c>
      <c r="B82" s="1316" t="s">
        <v>411</v>
      </c>
      <c r="C82" s="1316" t="s">
        <v>440</v>
      </c>
      <c r="D82" s="1317" t="s">
        <v>431</v>
      </c>
      <c r="E82" s="1318">
        <v>1.5</v>
      </c>
      <c r="F82" s="1317" t="s">
        <v>443</v>
      </c>
      <c r="G82" s="1315">
        <v>2826</v>
      </c>
      <c r="H82" s="238">
        <f t="shared" si="20"/>
        <v>1.9342000000000002E-2</v>
      </c>
      <c r="I82" s="1333">
        <v>1.9342000000000002E-2</v>
      </c>
      <c r="J82" s="1333"/>
      <c r="K82" s="1334"/>
      <c r="L82" s="1318">
        <v>0.5</v>
      </c>
      <c r="M82" s="233">
        <f t="shared" si="18"/>
        <v>40.995369000000004</v>
      </c>
      <c r="N82" s="233">
        <f t="shared" si="0"/>
        <v>40.995369000000004</v>
      </c>
      <c r="O82" s="234">
        <f t="shared" si="1"/>
        <v>0</v>
      </c>
      <c r="P82" s="234">
        <f t="shared" si="19"/>
        <v>0</v>
      </c>
      <c r="Q82" s="1341">
        <v>0</v>
      </c>
      <c r="T82" s="519"/>
    </row>
    <row r="83" spans="1:20" hidden="1" outlineLevel="1">
      <c r="A83" s="190" t="s">
        <v>815</v>
      </c>
      <c r="B83" s="1320" t="s">
        <v>411</v>
      </c>
      <c r="C83" s="1320" t="s">
        <v>440</v>
      </c>
      <c r="D83" s="1321" t="s">
        <v>431</v>
      </c>
      <c r="E83" s="1322">
        <v>1.5</v>
      </c>
      <c r="F83" s="1324" t="s">
        <v>444</v>
      </c>
      <c r="G83" s="1323">
        <v>12014</v>
      </c>
      <c r="H83" s="239">
        <f t="shared" si="20"/>
        <v>1.629E-3</v>
      </c>
      <c r="I83" s="1335">
        <v>1.629E-3</v>
      </c>
      <c r="J83" s="1335"/>
      <c r="K83" s="1336"/>
      <c r="L83" s="1322">
        <v>0.5</v>
      </c>
      <c r="M83" s="227">
        <f t="shared" si="18"/>
        <v>14.6781045</v>
      </c>
      <c r="N83" s="227">
        <f t="shared" si="0"/>
        <v>14.6781045</v>
      </c>
      <c r="O83" s="228">
        <f t="shared" si="1"/>
        <v>0</v>
      </c>
      <c r="P83" s="228">
        <f t="shared" si="19"/>
        <v>0</v>
      </c>
      <c r="Q83" s="1342">
        <v>0</v>
      </c>
      <c r="T83" s="519"/>
    </row>
    <row r="84" spans="1:20" hidden="1" outlineLevel="1">
      <c r="A84" s="190" t="s">
        <v>815</v>
      </c>
      <c r="B84" s="1316" t="s">
        <v>409</v>
      </c>
      <c r="C84" s="1316" t="s">
        <v>594</v>
      </c>
      <c r="D84" s="1317" t="s">
        <v>431</v>
      </c>
      <c r="E84" s="1318">
        <v>1</v>
      </c>
      <c r="F84" s="1319" t="s">
        <v>868</v>
      </c>
      <c r="G84" s="1315">
        <v>1435</v>
      </c>
      <c r="H84" s="238">
        <f t="shared" si="20"/>
        <v>4.0050000000000002E-2</v>
      </c>
      <c r="I84" s="1333">
        <v>3.2039999999999999E-2</v>
      </c>
      <c r="J84" s="1333">
        <v>8.0099999999999998E-3</v>
      </c>
      <c r="K84" s="1334"/>
      <c r="L84" s="1318">
        <v>1</v>
      </c>
      <c r="M84" s="233">
        <f t="shared" si="18"/>
        <v>160.92089999999999</v>
      </c>
      <c r="N84" s="233">
        <f t="shared" si="0"/>
        <v>45.977399999999996</v>
      </c>
      <c r="O84" s="234">
        <f t="shared" si="1"/>
        <v>114.94349999999999</v>
      </c>
      <c r="P84" s="234">
        <f t="shared" si="19"/>
        <v>0</v>
      </c>
      <c r="Q84" s="1341">
        <v>0</v>
      </c>
      <c r="T84" s="519"/>
    </row>
    <row r="85" spans="1:20" hidden="1" outlineLevel="1">
      <c r="A85" s="190" t="s">
        <v>815</v>
      </c>
      <c r="B85" s="1316" t="s">
        <v>409</v>
      </c>
      <c r="C85" s="1316" t="s">
        <v>594</v>
      </c>
      <c r="D85" s="1317" t="s">
        <v>431</v>
      </c>
      <c r="E85" s="1318">
        <v>1</v>
      </c>
      <c r="F85" s="1319" t="s">
        <v>441</v>
      </c>
      <c r="G85" s="1315">
        <v>552.89</v>
      </c>
      <c r="H85" s="238">
        <f t="shared" si="20"/>
        <v>1.9224000000000002E-2</v>
      </c>
      <c r="I85" s="1333">
        <v>1.9224000000000002E-2</v>
      </c>
      <c r="J85" s="1333"/>
      <c r="K85" s="1334"/>
      <c r="L85" s="1318">
        <v>1</v>
      </c>
      <c r="M85" s="233">
        <f t="shared" si="18"/>
        <v>10.62875736</v>
      </c>
      <c r="N85" s="233">
        <f t="shared" si="0"/>
        <v>10.62875736</v>
      </c>
      <c r="O85" s="234">
        <f t="shared" si="1"/>
        <v>0</v>
      </c>
      <c r="P85" s="234">
        <f t="shared" si="19"/>
        <v>0</v>
      </c>
      <c r="Q85" s="1341">
        <v>0</v>
      </c>
      <c r="T85" s="519"/>
    </row>
    <row r="86" spans="1:20" hidden="1" outlineLevel="1">
      <c r="A86" s="190" t="s">
        <v>815</v>
      </c>
      <c r="B86" s="1316" t="s">
        <v>409</v>
      </c>
      <c r="C86" s="1316" t="s">
        <v>594</v>
      </c>
      <c r="D86" s="1317" t="s">
        <v>431</v>
      </c>
      <c r="E86" s="1318">
        <v>1</v>
      </c>
      <c r="F86" s="1319" t="s">
        <v>442</v>
      </c>
      <c r="G86" s="1315">
        <v>4582</v>
      </c>
      <c r="H86" s="238">
        <f t="shared" si="20"/>
        <v>0</v>
      </c>
      <c r="I86" s="1333"/>
      <c r="J86" s="1333"/>
      <c r="K86" s="1334"/>
      <c r="L86" s="1318">
        <v>1</v>
      </c>
      <c r="M86" s="233">
        <f t="shared" si="18"/>
        <v>0</v>
      </c>
      <c r="N86" s="233">
        <f t="shared" si="0"/>
        <v>0</v>
      </c>
      <c r="O86" s="234">
        <f t="shared" si="1"/>
        <v>0</v>
      </c>
      <c r="P86" s="234">
        <f t="shared" si="19"/>
        <v>0</v>
      </c>
      <c r="Q86" s="1341">
        <v>0</v>
      </c>
      <c r="T86" s="519"/>
    </row>
    <row r="87" spans="1:20" hidden="1" outlineLevel="1">
      <c r="A87" s="190" t="s">
        <v>815</v>
      </c>
      <c r="B87" s="1316" t="s">
        <v>409</v>
      </c>
      <c r="C87" s="1316" t="s">
        <v>594</v>
      </c>
      <c r="D87" s="1317" t="s">
        <v>431</v>
      </c>
      <c r="E87" s="1318">
        <v>1</v>
      </c>
      <c r="F87" s="1317" t="s">
        <v>443</v>
      </c>
      <c r="G87" s="1315">
        <v>2826</v>
      </c>
      <c r="H87" s="238">
        <f t="shared" si="20"/>
        <v>3.0438E-2</v>
      </c>
      <c r="I87" s="1333">
        <v>3.0438E-2</v>
      </c>
      <c r="J87" s="1333"/>
      <c r="K87" s="1334"/>
      <c r="L87" s="1318">
        <v>1</v>
      </c>
      <c r="M87" s="233">
        <f t="shared" si="18"/>
        <v>86.017787999999996</v>
      </c>
      <c r="N87" s="233">
        <f t="shared" si="0"/>
        <v>86.017787999999996</v>
      </c>
      <c r="O87" s="234">
        <f t="shared" si="1"/>
        <v>0</v>
      </c>
      <c r="P87" s="234">
        <f t="shared" si="19"/>
        <v>0</v>
      </c>
      <c r="Q87" s="1341">
        <v>0</v>
      </c>
      <c r="T87" s="519"/>
    </row>
    <row r="88" spans="1:20" hidden="1" outlineLevel="1">
      <c r="A88" s="191" t="s">
        <v>815</v>
      </c>
      <c r="B88" s="1320" t="s">
        <v>409</v>
      </c>
      <c r="C88" s="1320" t="s">
        <v>594</v>
      </c>
      <c r="D88" s="1321" t="s">
        <v>431</v>
      </c>
      <c r="E88" s="1322">
        <v>1</v>
      </c>
      <c r="F88" s="1324" t="s">
        <v>444</v>
      </c>
      <c r="G88" s="1323">
        <v>12014</v>
      </c>
      <c r="H88" s="239">
        <f t="shared" si="20"/>
        <v>4.5659999999999997E-3</v>
      </c>
      <c r="I88" s="1335">
        <v>4.5659999999999997E-3</v>
      </c>
      <c r="J88" s="1335"/>
      <c r="K88" s="1336"/>
      <c r="L88" s="1322">
        <v>1</v>
      </c>
      <c r="M88" s="227">
        <f t="shared" si="18"/>
        <v>54.855923999999995</v>
      </c>
      <c r="N88" s="227">
        <f t="shared" si="0"/>
        <v>54.855923999999995</v>
      </c>
      <c r="O88" s="228">
        <f t="shared" si="1"/>
        <v>0</v>
      </c>
      <c r="P88" s="228">
        <f t="shared" si="19"/>
        <v>0</v>
      </c>
      <c r="Q88" s="1342">
        <v>0</v>
      </c>
      <c r="R88" s="512">
        <f>SUM(M47:M88)</f>
        <v>4494.453414900001</v>
      </c>
      <c r="T88" s="519"/>
    </row>
    <row r="89" spans="1:20" hidden="1" outlineLevel="1">
      <c r="A89" s="190" t="s">
        <v>815</v>
      </c>
      <c r="B89" s="1316" t="s">
        <v>434</v>
      </c>
      <c r="C89" s="1316" t="s">
        <v>435</v>
      </c>
      <c r="D89" s="1317" t="s">
        <v>432</v>
      </c>
      <c r="E89" s="1318">
        <v>1</v>
      </c>
      <c r="F89" s="1317" t="s">
        <v>868</v>
      </c>
      <c r="G89" s="1315">
        <v>1435</v>
      </c>
      <c r="H89" s="238">
        <f t="shared" si="20"/>
        <v>2.0650000000000002E-2</v>
      </c>
      <c r="I89" s="1333">
        <v>2.0650000000000002E-2</v>
      </c>
      <c r="J89" s="1333"/>
      <c r="K89" s="1334"/>
      <c r="L89" s="1318">
        <v>1</v>
      </c>
      <c r="M89" s="233">
        <f t="shared" si="18"/>
        <v>29.632750000000001</v>
      </c>
      <c r="N89" s="233">
        <f t="shared" si="0"/>
        <v>29.632750000000001</v>
      </c>
      <c r="O89" s="234">
        <f t="shared" si="1"/>
        <v>0</v>
      </c>
      <c r="P89" s="234">
        <f t="shared" si="19"/>
        <v>0</v>
      </c>
      <c r="Q89" s="1341">
        <v>0</v>
      </c>
    </row>
    <row r="90" spans="1:20" hidden="1" outlineLevel="1">
      <c r="A90" s="190" t="s">
        <v>815</v>
      </c>
      <c r="B90" s="1316" t="s">
        <v>434</v>
      </c>
      <c r="C90" s="1316" t="s">
        <v>435</v>
      </c>
      <c r="D90" s="1317" t="s">
        <v>432</v>
      </c>
      <c r="E90" s="1318">
        <v>1</v>
      </c>
      <c r="F90" s="1319" t="s">
        <v>441</v>
      </c>
      <c r="G90" s="1315">
        <v>552.89</v>
      </c>
      <c r="H90" s="238">
        <f t="shared" si="20"/>
        <v>0</v>
      </c>
      <c r="I90" s="1333"/>
      <c r="J90" s="1333"/>
      <c r="K90" s="1334"/>
      <c r="L90" s="1318">
        <v>1</v>
      </c>
      <c r="M90" s="233">
        <f t="shared" si="18"/>
        <v>0</v>
      </c>
      <c r="N90" s="233">
        <f t="shared" si="0"/>
        <v>0</v>
      </c>
      <c r="O90" s="234">
        <f t="shared" si="1"/>
        <v>0</v>
      </c>
      <c r="P90" s="234">
        <f t="shared" si="19"/>
        <v>0</v>
      </c>
      <c r="Q90" s="1341">
        <v>0</v>
      </c>
    </row>
    <row r="91" spans="1:20" hidden="1" outlineLevel="1">
      <c r="A91" s="190" t="s">
        <v>815</v>
      </c>
      <c r="B91" s="1316" t="s">
        <v>434</v>
      </c>
      <c r="C91" s="1316" t="s">
        <v>435</v>
      </c>
      <c r="D91" s="1317" t="s">
        <v>432</v>
      </c>
      <c r="E91" s="1318">
        <v>1</v>
      </c>
      <c r="F91" s="1319" t="s">
        <v>442</v>
      </c>
      <c r="G91" s="1315">
        <v>4582</v>
      </c>
      <c r="H91" s="238">
        <f t="shared" si="20"/>
        <v>0</v>
      </c>
      <c r="I91" s="1333"/>
      <c r="J91" s="1333"/>
      <c r="K91" s="1334"/>
      <c r="L91" s="1318">
        <v>1</v>
      </c>
      <c r="M91" s="233">
        <f t="shared" si="18"/>
        <v>0</v>
      </c>
      <c r="N91" s="233">
        <f t="shared" si="0"/>
        <v>0</v>
      </c>
      <c r="O91" s="234">
        <f t="shared" si="1"/>
        <v>0</v>
      </c>
      <c r="P91" s="234">
        <f t="shared" si="19"/>
        <v>0</v>
      </c>
      <c r="Q91" s="1341">
        <v>0</v>
      </c>
    </row>
    <row r="92" spans="1:20" hidden="1" outlineLevel="1">
      <c r="A92" s="190" t="s">
        <v>815</v>
      </c>
      <c r="B92" s="1316" t="s">
        <v>434</v>
      </c>
      <c r="C92" s="1316" t="s">
        <v>435</v>
      </c>
      <c r="D92" s="1317" t="s">
        <v>432</v>
      </c>
      <c r="E92" s="1318">
        <v>1</v>
      </c>
      <c r="F92" s="1317" t="s">
        <v>443</v>
      </c>
      <c r="G92" s="1315">
        <v>2826</v>
      </c>
      <c r="H92" s="238">
        <f t="shared" si="20"/>
        <v>0.304008</v>
      </c>
      <c r="I92" s="1333">
        <v>0.304008</v>
      </c>
      <c r="J92" s="1333"/>
      <c r="K92" s="1334"/>
      <c r="L92" s="1318">
        <v>1</v>
      </c>
      <c r="M92" s="233">
        <f t="shared" si="18"/>
        <v>859.12660800000003</v>
      </c>
      <c r="N92" s="233">
        <f t="shared" si="0"/>
        <v>859.12660800000003</v>
      </c>
      <c r="O92" s="234">
        <f t="shared" si="1"/>
        <v>0</v>
      </c>
      <c r="P92" s="234">
        <f t="shared" si="19"/>
        <v>0</v>
      </c>
      <c r="Q92" s="1341">
        <v>0</v>
      </c>
    </row>
    <row r="93" spans="1:20" hidden="1" outlineLevel="1">
      <c r="A93" s="190" t="s">
        <v>815</v>
      </c>
      <c r="B93" s="1316" t="s">
        <v>434</v>
      </c>
      <c r="C93" s="1316" t="s">
        <v>435</v>
      </c>
      <c r="D93" s="1317" t="s">
        <v>432</v>
      </c>
      <c r="E93" s="1318">
        <v>1</v>
      </c>
      <c r="F93" s="1319" t="s">
        <v>444</v>
      </c>
      <c r="G93" s="1315">
        <v>12014</v>
      </c>
      <c r="H93" s="238">
        <f t="shared" si="20"/>
        <v>7.4567999999999995E-2</v>
      </c>
      <c r="I93" s="1333">
        <v>1.1472E-2</v>
      </c>
      <c r="J93" s="1333">
        <v>6.3095999999999999E-2</v>
      </c>
      <c r="K93" s="1334"/>
      <c r="L93" s="1318">
        <v>1</v>
      </c>
      <c r="M93" s="233">
        <f t="shared" si="18"/>
        <v>7718.1780479999998</v>
      </c>
      <c r="N93" s="233">
        <f t="shared" si="0"/>
        <v>137.82460799999998</v>
      </c>
      <c r="O93" s="234">
        <f t="shared" si="1"/>
        <v>7580.3534399999999</v>
      </c>
      <c r="P93" s="234">
        <f t="shared" si="19"/>
        <v>0</v>
      </c>
      <c r="Q93" s="1341">
        <v>0</v>
      </c>
    </row>
    <row r="94" spans="1:20" hidden="1" outlineLevel="1">
      <c r="A94" s="190" t="s">
        <v>815</v>
      </c>
      <c r="B94" s="1320" t="s">
        <v>434</v>
      </c>
      <c r="C94" s="1320" t="s">
        <v>435</v>
      </c>
      <c r="D94" s="1321" t="s">
        <v>432</v>
      </c>
      <c r="E94" s="1322">
        <v>1</v>
      </c>
      <c r="F94" s="1324" t="s">
        <v>445</v>
      </c>
      <c r="G94" s="1323">
        <v>24326</v>
      </c>
      <c r="H94" s="239">
        <f t="shared" si="20"/>
        <v>0</v>
      </c>
      <c r="I94" s="1335"/>
      <c r="J94" s="1335"/>
      <c r="K94" s="1336"/>
      <c r="L94" s="1322">
        <v>1</v>
      </c>
      <c r="M94" s="227">
        <f t="shared" ref="M94:M116" si="33">SUM(N94:P94)-Q94</f>
        <v>0</v>
      </c>
      <c r="N94" s="227">
        <f t="shared" ref="N94:N116" si="34">E94*G94*I94*L94</f>
        <v>0</v>
      </c>
      <c r="O94" s="228">
        <f t="shared" ref="O94:O116" si="35">E94*G94*J94*L94*10</f>
        <v>0</v>
      </c>
      <c r="P94" s="228">
        <f t="shared" ref="P94:P116" si="36">E94*G94*K94*L94*15</f>
        <v>0</v>
      </c>
      <c r="Q94" s="1342">
        <v>0</v>
      </c>
    </row>
    <row r="95" spans="1:20" hidden="1" outlineLevel="1">
      <c r="A95" s="190" t="s">
        <v>815</v>
      </c>
      <c r="B95" s="1320" t="s">
        <v>869</v>
      </c>
      <c r="C95" s="1320" t="s">
        <v>870</v>
      </c>
      <c r="D95" s="1321" t="s">
        <v>432</v>
      </c>
      <c r="E95" s="1322">
        <v>1</v>
      </c>
      <c r="F95" s="1324" t="s">
        <v>442</v>
      </c>
      <c r="G95" s="1323">
        <v>4582</v>
      </c>
      <c r="H95" s="239">
        <f t="shared" ref="H95:H98" si="37">SUM(I95:K95)</f>
        <v>0</v>
      </c>
      <c r="I95" s="1482"/>
      <c r="J95" s="1482"/>
      <c r="K95" s="1482"/>
      <c r="L95" s="1322">
        <v>0.5</v>
      </c>
      <c r="M95" s="520">
        <f t="shared" si="33"/>
        <v>0</v>
      </c>
      <c r="N95" s="521">
        <v>0</v>
      </c>
      <c r="O95" s="522">
        <f t="shared" ref="O95:O98" si="38">E95*G95*J95</f>
        <v>0</v>
      </c>
      <c r="P95" s="522"/>
      <c r="Q95" s="1342">
        <v>0</v>
      </c>
    </row>
    <row r="96" spans="1:20" hidden="1" outlineLevel="1">
      <c r="A96" s="190" t="s">
        <v>815</v>
      </c>
      <c r="B96" s="1320" t="s">
        <v>1301</v>
      </c>
      <c r="C96" s="1320" t="s">
        <v>867</v>
      </c>
      <c r="D96" s="1321" t="s">
        <v>432</v>
      </c>
      <c r="E96" s="1322">
        <v>1.5</v>
      </c>
      <c r="F96" s="1324" t="s">
        <v>441</v>
      </c>
      <c r="G96" s="1323">
        <v>552.89</v>
      </c>
      <c r="H96" s="239">
        <f t="shared" si="37"/>
        <v>0</v>
      </c>
      <c r="I96" s="1482"/>
      <c r="J96" s="1482"/>
      <c r="K96" s="1482"/>
      <c r="L96" s="1322">
        <v>0.5</v>
      </c>
      <c r="M96" s="520">
        <f t="shared" si="33"/>
        <v>0</v>
      </c>
      <c r="N96" s="521">
        <v>0</v>
      </c>
      <c r="O96" s="522">
        <f t="shared" si="38"/>
        <v>0</v>
      </c>
      <c r="P96" s="522"/>
      <c r="Q96" s="1342">
        <v>0</v>
      </c>
    </row>
    <row r="97" spans="1:17" hidden="1" outlineLevel="1">
      <c r="A97" s="190" t="s">
        <v>815</v>
      </c>
      <c r="B97" s="1325" t="s">
        <v>620</v>
      </c>
      <c r="C97" s="1325" t="s">
        <v>621</v>
      </c>
      <c r="D97" s="1321" t="s">
        <v>432</v>
      </c>
      <c r="E97" s="1327">
        <v>1</v>
      </c>
      <c r="F97" s="1324" t="s">
        <v>441</v>
      </c>
      <c r="G97" s="1323">
        <v>552.89</v>
      </c>
      <c r="H97" s="239">
        <f t="shared" si="37"/>
        <v>0</v>
      </c>
      <c r="I97" s="1482"/>
      <c r="J97" s="1338"/>
      <c r="K97" s="1338"/>
      <c r="L97" s="1322">
        <v>0.5</v>
      </c>
      <c r="M97" s="520">
        <f t="shared" si="33"/>
        <v>0</v>
      </c>
      <c r="N97" s="521">
        <v>0</v>
      </c>
      <c r="O97" s="522">
        <f t="shared" si="38"/>
        <v>0</v>
      </c>
      <c r="P97" s="522"/>
      <c r="Q97" s="1342">
        <v>0</v>
      </c>
    </row>
    <row r="98" spans="1:17" hidden="1" outlineLevel="1">
      <c r="A98" s="190" t="s">
        <v>815</v>
      </c>
      <c r="B98" s="1325" t="s">
        <v>622</v>
      </c>
      <c r="C98" s="1325" t="s">
        <v>619</v>
      </c>
      <c r="D98" s="1321" t="s">
        <v>432</v>
      </c>
      <c r="E98" s="1327">
        <v>1</v>
      </c>
      <c r="F98" s="1324" t="s">
        <v>441</v>
      </c>
      <c r="G98" s="1323">
        <v>552.89</v>
      </c>
      <c r="H98" s="239">
        <f t="shared" si="37"/>
        <v>0</v>
      </c>
      <c r="I98" s="1482"/>
      <c r="J98" s="1338"/>
      <c r="K98" s="1338"/>
      <c r="L98" s="1322">
        <v>0.5</v>
      </c>
      <c r="M98" s="520">
        <f t="shared" si="33"/>
        <v>0</v>
      </c>
      <c r="N98" s="521">
        <v>0</v>
      </c>
      <c r="O98" s="522">
        <f t="shared" si="38"/>
        <v>0</v>
      </c>
      <c r="P98" s="522"/>
      <c r="Q98" s="1342">
        <v>0</v>
      </c>
    </row>
    <row r="99" spans="1:17" hidden="1" outlineLevel="1">
      <c r="A99" s="190" t="s">
        <v>815</v>
      </c>
      <c r="B99" s="1316" t="s">
        <v>436</v>
      </c>
      <c r="C99" s="1316" t="s">
        <v>591</v>
      </c>
      <c r="D99" s="1317" t="s">
        <v>432</v>
      </c>
      <c r="E99" s="1318">
        <v>1</v>
      </c>
      <c r="F99" s="1317" t="s">
        <v>868</v>
      </c>
      <c r="G99" s="1315">
        <v>1435</v>
      </c>
      <c r="H99" s="238">
        <f t="shared" si="20"/>
        <v>0</v>
      </c>
      <c r="I99" s="1333"/>
      <c r="J99" s="1333"/>
      <c r="K99" s="1334"/>
      <c r="L99" s="1318">
        <v>0.5</v>
      </c>
      <c r="M99" s="233">
        <f t="shared" si="33"/>
        <v>0</v>
      </c>
      <c r="N99" s="233">
        <f t="shared" si="34"/>
        <v>0</v>
      </c>
      <c r="O99" s="234">
        <f t="shared" si="35"/>
        <v>0</v>
      </c>
      <c r="P99" s="234">
        <f t="shared" si="36"/>
        <v>0</v>
      </c>
      <c r="Q99" s="1341">
        <v>0</v>
      </c>
    </row>
    <row r="100" spans="1:17" hidden="1" outlineLevel="1">
      <c r="A100" s="190" t="s">
        <v>815</v>
      </c>
      <c r="B100" s="1316" t="s">
        <v>436</v>
      </c>
      <c r="C100" s="1316" t="s">
        <v>591</v>
      </c>
      <c r="D100" s="1317" t="s">
        <v>432</v>
      </c>
      <c r="E100" s="1318">
        <v>1</v>
      </c>
      <c r="F100" s="1319" t="s">
        <v>441</v>
      </c>
      <c r="G100" s="1315">
        <v>552.89</v>
      </c>
      <c r="H100" s="238">
        <f t="shared" si="20"/>
        <v>0</v>
      </c>
      <c r="I100" s="1333"/>
      <c r="J100" s="1333"/>
      <c r="K100" s="1334"/>
      <c r="L100" s="1318">
        <v>0.5</v>
      </c>
      <c r="M100" s="233">
        <f t="shared" si="33"/>
        <v>0</v>
      </c>
      <c r="N100" s="233">
        <f t="shared" si="34"/>
        <v>0</v>
      </c>
      <c r="O100" s="234">
        <f t="shared" si="35"/>
        <v>0</v>
      </c>
      <c r="P100" s="234">
        <f t="shared" si="36"/>
        <v>0</v>
      </c>
      <c r="Q100" s="1341">
        <v>0</v>
      </c>
    </row>
    <row r="101" spans="1:17" hidden="1" outlineLevel="1">
      <c r="A101" s="190" t="s">
        <v>815</v>
      </c>
      <c r="B101" s="1316" t="s">
        <v>436</v>
      </c>
      <c r="C101" s="1316" t="s">
        <v>591</v>
      </c>
      <c r="D101" s="1317" t="s">
        <v>432</v>
      </c>
      <c r="E101" s="1318">
        <v>1</v>
      </c>
      <c r="F101" s="1317" t="s">
        <v>443</v>
      </c>
      <c r="G101" s="1315">
        <v>2826</v>
      </c>
      <c r="H101" s="238">
        <f t="shared" si="20"/>
        <v>0</v>
      </c>
      <c r="I101" s="1333"/>
      <c r="J101" s="1333"/>
      <c r="K101" s="1334"/>
      <c r="L101" s="1318">
        <v>0.5</v>
      </c>
      <c r="M101" s="233">
        <f t="shared" si="33"/>
        <v>0</v>
      </c>
      <c r="N101" s="233">
        <f t="shared" si="34"/>
        <v>0</v>
      </c>
      <c r="O101" s="234">
        <f t="shared" si="35"/>
        <v>0</v>
      </c>
      <c r="P101" s="234">
        <f t="shared" si="36"/>
        <v>0</v>
      </c>
      <c r="Q101" s="1341">
        <v>0</v>
      </c>
    </row>
    <row r="102" spans="1:17" hidden="1" outlineLevel="1">
      <c r="A102" s="190" t="s">
        <v>815</v>
      </c>
      <c r="B102" s="1320" t="s">
        <v>436</v>
      </c>
      <c r="C102" s="1320" t="s">
        <v>591</v>
      </c>
      <c r="D102" s="1321" t="s">
        <v>432</v>
      </c>
      <c r="E102" s="1322">
        <v>1</v>
      </c>
      <c r="F102" s="1324" t="s">
        <v>444</v>
      </c>
      <c r="G102" s="1323">
        <v>12014</v>
      </c>
      <c r="H102" s="239">
        <f t="shared" si="20"/>
        <v>0</v>
      </c>
      <c r="I102" s="1335"/>
      <c r="J102" s="1335"/>
      <c r="K102" s="1336"/>
      <c r="L102" s="1322">
        <v>0.5</v>
      </c>
      <c r="M102" s="227">
        <f t="shared" si="33"/>
        <v>0</v>
      </c>
      <c r="N102" s="227">
        <f t="shared" si="34"/>
        <v>0</v>
      </c>
      <c r="O102" s="228">
        <f t="shared" si="35"/>
        <v>0</v>
      </c>
      <c r="P102" s="228">
        <f t="shared" si="36"/>
        <v>0</v>
      </c>
      <c r="Q102" s="1342">
        <v>0</v>
      </c>
    </row>
    <row r="103" spans="1:17" hidden="1" outlineLevel="1">
      <c r="A103" s="190" t="s">
        <v>815</v>
      </c>
      <c r="B103" s="1316" t="s">
        <v>437</v>
      </c>
      <c r="C103" s="1316" t="s">
        <v>592</v>
      </c>
      <c r="D103" s="1317" t="s">
        <v>432</v>
      </c>
      <c r="E103" s="1318">
        <v>1</v>
      </c>
      <c r="F103" s="1317" t="s">
        <v>868</v>
      </c>
      <c r="G103" s="1315">
        <v>1435</v>
      </c>
      <c r="H103" s="238">
        <f t="shared" si="20"/>
        <v>5.9400000000000002E-4</v>
      </c>
      <c r="I103" s="1333">
        <v>5.9400000000000002E-4</v>
      </c>
      <c r="J103" s="1333"/>
      <c r="K103" s="1334"/>
      <c r="L103" s="1318">
        <v>0.5</v>
      </c>
      <c r="M103" s="233">
        <f t="shared" si="33"/>
        <v>0.42619499999999999</v>
      </c>
      <c r="N103" s="233">
        <f t="shared" si="34"/>
        <v>0.42619499999999999</v>
      </c>
      <c r="O103" s="234">
        <f t="shared" si="35"/>
        <v>0</v>
      </c>
      <c r="P103" s="234">
        <f t="shared" si="36"/>
        <v>0</v>
      </c>
      <c r="Q103" s="1341">
        <v>0</v>
      </c>
    </row>
    <row r="104" spans="1:17" hidden="1" outlineLevel="1">
      <c r="A104" s="190" t="s">
        <v>815</v>
      </c>
      <c r="B104" s="1316" t="s">
        <v>437</v>
      </c>
      <c r="C104" s="1316" t="s">
        <v>592</v>
      </c>
      <c r="D104" s="1317" t="s">
        <v>432</v>
      </c>
      <c r="E104" s="1318">
        <v>1</v>
      </c>
      <c r="F104" s="1319" t="s">
        <v>441</v>
      </c>
      <c r="G104" s="1315">
        <v>552.89</v>
      </c>
      <c r="H104" s="238">
        <f t="shared" si="20"/>
        <v>6.9300000000000004E-4</v>
      </c>
      <c r="I104" s="1333">
        <v>6.9300000000000004E-4</v>
      </c>
      <c r="J104" s="1333"/>
      <c r="K104" s="1334"/>
      <c r="L104" s="1318">
        <v>0.5</v>
      </c>
      <c r="M104" s="233">
        <f t="shared" si="33"/>
        <v>0.19157638500000002</v>
      </c>
      <c r="N104" s="233">
        <f t="shared" si="34"/>
        <v>0.19157638500000002</v>
      </c>
      <c r="O104" s="234">
        <f t="shared" si="35"/>
        <v>0</v>
      </c>
      <c r="P104" s="234">
        <f t="shared" si="36"/>
        <v>0</v>
      </c>
      <c r="Q104" s="1341">
        <v>0</v>
      </c>
    </row>
    <row r="105" spans="1:17" hidden="1" outlineLevel="1">
      <c r="A105" s="190" t="s">
        <v>815</v>
      </c>
      <c r="B105" s="1316" t="s">
        <v>437</v>
      </c>
      <c r="C105" s="1316" t="s">
        <v>592</v>
      </c>
      <c r="D105" s="1317" t="s">
        <v>432</v>
      </c>
      <c r="E105" s="1318">
        <v>1</v>
      </c>
      <c r="F105" s="1317" t="s">
        <v>443</v>
      </c>
      <c r="G105" s="1315">
        <v>2826</v>
      </c>
      <c r="H105" s="238">
        <f t="shared" si="20"/>
        <v>1.6799999999999999E-4</v>
      </c>
      <c r="I105" s="1333">
        <v>1.6799999999999999E-4</v>
      </c>
      <c r="J105" s="1333"/>
      <c r="K105" s="1334"/>
      <c r="L105" s="1318">
        <v>0.5</v>
      </c>
      <c r="M105" s="233">
        <f t="shared" si="33"/>
        <v>0.23738399999999998</v>
      </c>
      <c r="N105" s="233">
        <f t="shared" si="34"/>
        <v>0.23738399999999998</v>
      </c>
      <c r="O105" s="234">
        <f t="shared" si="35"/>
        <v>0</v>
      </c>
      <c r="P105" s="234">
        <f t="shared" si="36"/>
        <v>0</v>
      </c>
      <c r="Q105" s="1341">
        <v>0</v>
      </c>
    </row>
    <row r="106" spans="1:17" hidden="1" outlineLevel="1">
      <c r="A106" s="190" t="s">
        <v>815</v>
      </c>
      <c r="B106" s="1320" t="s">
        <v>437</v>
      </c>
      <c r="C106" s="1320" t="s">
        <v>592</v>
      </c>
      <c r="D106" s="1321" t="s">
        <v>432</v>
      </c>
      <c r="E106" s="1322">
        <v>1</v>
      </c>
      <c r="F106" s="1324" t="s">
        <v>444</v>
      </c>
      <c r="G106" s="1323">
        <v>12014</v>
      </c>
      <c r="H106" s="239">
        <f t="shared" si="20"/>
        <v>5.5000000000000002E-5</v>
      </c>
      <c r="I106" s="1335">
        <v>5.5000000000000002E-5</v>
      </c>
      <c r="J106" s="1335"/>
      <c r="K106" s="1336"/>
      <c r="L106" s="1322">
        <v>0.5</v>
      </c>
      <c r="M106" s="227">
        <f t="shared" si="33"/>
        <v>0.33038499999999998</v>
      </c>
      <c r="N106" s="227">
        <f t="shared" si="34"/>
        <v>0.33038499999999998</v>
      </c>
      <c r="O106" s="228">
        <f t="shared" si="35"/>
        <v>0</v>
      </c>
      <c r="P106" s="228">
        <f t="shared" si="36"/>
        <v>0</v>
      </c>
      <c r="Q106" s="1342">
        <v>0</v>
      </c>
    </row>
    <row r="107" spans="1:17" hidden="1" outlineLevel="1">
      <c r="A107" s="190" t="s">
        <v>815</v>
      </c>
      <c r="B107" s="1316" t="s">
        <v>438</v>
      </c>
      <c r="C107" s="1316" t="s">
        <v>593</v>
      </c>
      <c r="D107" s="1317" t="s">
        <v>432</v>
      </c>
      <c r="E107" s="1318">
        <v>1</v>
      </c>
      <c r="F107" s="1317" t="s">
        <v>868</v>
      </c>
      <c r="G107" s="1315">
        <v>1435</v>
      </c>
      <c r="H107" s="238">
        <f t="shared" si="20"/>
        <v>6.7140000000000003E-3</v>
      </c>
      <c r="I107" s="1333">
        <v>6.7140000000000003E-3</v>
      </c>
      <c r="J107" s="1333"/>
      <c r="K107" s="1334"/>
      <c r="L107" s="1318">
        <v>1</v>
      </c>
      <c r="M107" s="233">
        <f t="shared" si="33"/>
        <v>9.6345900000000011</v>
      </c>
      <c r="N107" s="233">
        <f t="shared" si="34"/>
        <v>9.6345900000000011</v>
      </c>
      <c r="O107" s="234">
        <f t="shared" si="35"/>
        <v>0</v>
      </c>
      <c r="P107" s="234">
        <f t="shared" si="36"/>
        <v>0</v>
      </c>
      <c r="Q107" s="1341">
        <v>0</v>
      </c>
    </row>
    <row r="108" spans="1:17" hidden="1" outlineLevel="1">
      <c r="A108" s="190" t="s">
        <v>815</v>
      </c>
      <c r="B108" s="1316" t="s">
        <v>438</v>
      </c>
      <c r="C108" s="1316" t="s">
        <v>593</v>
      </c>
      <c r="D108" s="1317" t="s">
        <v>432</v>
      </c>
      <c r="E108" s="1318">
        <v>1</v>
      </c>
      <c r="F108" s="1319" t="s">
        <v>441</v>
      </c>
      <c r="G108" s="1315">
        <v>552.89</v>
      </c>
      <c r="H108" s="238">
        <f t="shared" si="20"/>
        <v>2.7903999999999998E-2</v>
      </c>
      <c r="I108" s="1333">
        <v>1.308E-2</v>
      </c>
      <c r="J108" s="1333">
        <v>1.4824E-2</v>
      </c>
      <c r="K108" s="1334"/>
      <c r="L108" s="1318">
        <v>1</v>
      </c>
      <c r="M108" s="233">
        <f t="shared" si="33"/>
        <v>89.192214800000016</v>
      </c>
      <c r="N108" s="233">
        <f t="shared" si="34"/>
        <v>7.2318011999999996</v>
      </c>
      <c r="O108" s="234">
        <f t="shared" si="35"/>
        <v>81.96041360000001</v>
      </c>
      <c r="P108" s="234">
        <f t="shared" si="36"/>
        <v>0</v>
      </c>
      <c r="Q108" s="1341">
        <v>0</v>
      </c>
    </row>
    <row r="109" spans="1:17" hidden="1" outlineLevel="1">
      <c r="A109" s="190" t="s">
        <v>815</v>
      </c>
      <c r="B109" s="1316" t="s">
        <v>438</v>
      </c>
      <c r="C109" s="1316" t="s">
        <v>593</v>
      </c>
      <c r="D109" s="1317" t="s">
        <v>432</v>
      </c>
      <c r="E109" s="1318">
        <v>1</v>
      </c>
      <c r="F109" s="1317" t="s">
        <v>442</v>
      </c>
      <c r="G109" s="1315">
        <v>4582</v>
      </c>
      <c r="H109" s="238">
        <f t="shared" si="20"/>
        <v>6.0999999999999997E-4</v>
      </c>
      <c r="I109" s="1333">
        <v>6.0999999999999997E-4</v>
      </c>
      <c r="J109" s="1333"/>
      <c r="K109" s="1334"/>
      <c r="L109" s="1318">
        <v>1</v>
      </c>
      <c r="M109" s="233">
        <f t="shared" si="33"/>
        <v>2.7950200000000001</v>
      </c>
      <c r="N109" s="233">
        <f t="shared" si="34"/>
        <v>2.7950200000000001</v>
      </c>
      <c r="O109" s="234">
        <f t="shared" si="35"/>
        <v>0</v>
      </c>
      <c r="P109" s="234">
        <f t="shared" si="36"/>
        <v>0</v>
      </c>
      <c r="Q109" s="1341">
        <v>0</v>
      </c>
    </row>
    <row r="110" spans="1:17" hidden="1" outlineLevel="1">
      <c r="A110" s="190" t="s">
        <v>815</v>
      </c>
      <c r="B110" s="1316" t="s">
        <v>438</v>
      </c>
      <c r="C110" s="1316" t="s">
        <v>593</v>
      </c>
      <c r="D110" s="1317" t="s">
        <v>432</v>
      </c>
      <c r="E110" s="1318">
        <v>1</v>
      </c>
      <c r="F110" s="1319" t="s">
        <v>443</v>
      </c>
      <c r="G110" s="1315">
        <v>2826</v>
      </c>
      <c r="H110" s="238">
        <f t="shared" si="20"/>
        <v>2.0928000000000002E-2</v>
      </c>
      <c r="I110" s="1333">
        <v>1.308E-2</v>
      </c>
      <c r="J110" s="1333">
        <v>7.8480000000000008E-3</v>
      </c>
      <c r="K110" s="1334"/>
      <c r="L110" s="1318">
        <v>1</v>
      </c>
      <c r="M110" s="233">
        <f t="shared" si="33"/>
        <v>258.74856</v>
      </c>
      <c r="N110" s="233">
        <f t="shared" si="34"/>
        <v>36.964079999999996</v>
      </c>
      <c r="O110" s="234">
        <f t="shared" si="35"/>
        <v>221.78448000000003</v>
      </c>
      <c r="P110" s="234">
        <f t="shared" si="36"/>
        <v>0</v>
      </c>
      <c r="Q110" s="1341">
        <v>0</v>
      </c>
    </row>
    <row r="111" spans="1:17" hidden="1" outlineLevel="1">
      <c r="A111" s="190" t="s">
        <v>815</v>
      </c>
      <c r="B111" s="1316" t="s">
        <v>438</v>
      </c>
      <c r="C111" s="1316" t="s">
        <v>593</v>
      </c>
      <c r="D111" s="1317" t="s">
        <v>432</v>
      </c>
      <c r="E111" s="1318">
        <v>1</v>
      </c>
      <c r="F111" s="1317" t="s">
        <v>444</v>
      </c>
      <c r="G111" s="1315">
        <v>12014</v>
      </c>
      <c r="H111" s="238">
        <f t="shared" si="20"/>
        <v>3.4010000000000004E-3</v>
      </c>
      <c r="I111" s="1333">
        <v>4.3600000000000003E-4</v>
      </c>
      <c r="J111" s="1333">
        <v>2.9650000000000002E-3</v>
      </c>
      <c r="K111" s="1334"/>
      <c r="L111" s="1318">
        <v>1</v>
      </c>
      <c r="M111" s="233">
        <f t="shared" si="33"/>
        <v>361.45320400000003</v>
      </c>
      <c r="N111" s="233">
        <f t="shared" si="34"/>
        <v>5.2381040000000008</v>
      </c>
      <c r="O111" s="234">
        <f t="shared" si="35"/>
        <v>356.21510000000001</v>
      </c>
      <c r="P111" s="234">
        <f t="shared" si="36"/>
        <v>0</v>
      </c>
      <c r="Q111" s="1341">
        <v>0</v>
      </c>
    </row>
    <row r="112" spans="1:17" hidden="1" outlineLevel="1">
      <c r="A112" s="190" t="s">
        <v>815</v>
      </c>
      <c r="B112" s="1320" t="s">
        <v>438</v>
      </c>
      <c r="C112" s="1320" t="s">
        <v>593</v>
      </c>
      <c r="D112" s="1321" t="s">
        <v>432</v>
      </c>
      <c r="E112" s="1322">
        <v>1</v>
      </c>
      <c r="F112" s="1324" t="s">
        <v>445</v>
      </c>
      <c r="G112" s="1323">
        <v>24326</v>
      </c>
      <c r="H112" s="239">
        <f t="shared" si="20"/>
        <v>0</v>
      </c>
      <c r="I112" s="1335"/>
      <c r="J112" s="1335"/>
      <c r="K112" s="1336"/>
      <c r="L112" s="1322">
        <v>1</v>
      </c>
      <c r="M112" s="227">
        <f t="shared" si="33"/>
        <v>0</v>
      </c>
      <c r="N112" s="227">
        <f t="shared" si="34"/>
        <v>0</v>
      </c>
      <c r="O112" s="228">
        <f t="shared" si="35"/>
        <v>0</v>
      </c>
      <c r="P112" s="228">
        <f t="shared" si="36"/>
        <v>0</v>
      </c>
      <c r="Q112" s="1342">
        <v>0</v>
      </c>
    </row>
    <row r="113" spans="1:18" hidden="1" outlineLevel="1">
      <c r="A113" s="190" t="s">
        <v>815</v>
      </c>
      <c r="B113" s="1316" t="s">
        <v>418</v>
      </c>
      <c r="C113" s="1316" t="s">
        <v>439</v>
      </c>
      <c r="D113" s="1317" t="s">
        <v>432</v>
      </c>
      <c r="E113" s="1318">
        <v>1.5</v>
      </c>
      <c r="F113" s="1317" t="s">
        <v>868</v>
      </c>
      <c r="G113" s="1315">
        <v>1435</v>
      </c>
      <c r="H113" s="238">
        <f t="shared" si="20"/>
        <v>5.6490000000000004E-3</v>
      </c>
      <c r="I113" s="1333">
        <v>5.6490000000000004E-3</v>
      </c>
      <c r="J113" s="1333"/>
      <c r="K113" s="1334"/>
      <c r="L113" s="1318">
        <v>0.5</v>
      </c>
      <c r="M113" s="233">
        <f t="shared" si="33"/>
        <v>6.0797362500000007</v>
      </c>
      <c r="N113" s="233">
        <f t="shared" si="34"/>
        <v>6.0797362500000007</v>
      </c>
      <c r="O113" s="234">
        <f t="shared" si="35"/>
        <v>0</v>
      </c>
      <c r="P113" s="234">
        <f t="shared" si="36"/>
        <v>0</v>
      </c>
      <c r="Q113" s="1341">
        <v>0</v>
      </c>
    </row>
    <row r="114" spans="1:18" hidden="1" outlineLevel="1">
      <c r="A114" s="190" t="s">
        <v>815</v>
      </c>
      <c r="B114" s="1316" t="s">
        <v>418</v>
      </c>
      <c r="C114" s="1316" t="s">
        <v>439</v>
      </c>
      <c r="D114" s="1317" t="s">
        <v>432</v>
      </c>
      <c r="E114" s="1318">
        <v>1.5</v>
      </c>
      <c r="F114" s="1319" t="s">
        <v>441</v>
      </c>
      <c r="G114" s="1315">
        <v>552.89</v>
      </c>
      <c r="H114" s="238">
        <f t="shared" si="20"/>
        <v>4.0349999999999997E-2</v>
      </c>
      <c r="I114" s="1333">
        <v>4.0349999999999997E-2</v>
      </c>
      <c r="J114" s="1333"/>
      <c r="K114" s="1334"/>
      <c r="L114" s="1318">
        <v>0.5</v>
      </c>
      <c r="M114" s="233">
        <f t="shared" si="33"/>
        <v>16.731833625</v>
      </c>
      <c r="N114" s="233">
        <f t="shared" si="34"/>
        <v>16.731833625</v>
      </c>
      <c r="O114" s="234">
        <f t="shared" si="35"/>
        <v>0</v>
      </c>
      <c r="P114" s="234">
        <f t="shared" si="36"/>
        <v>0</v>
      </c>
      <c r="Q114" s="1341">
        <v>0</v>
      </c>
    </row>
    <row r="115" spans="1:18" hidden="1" outlineLevel="1">
      <c r="A115" s="190" t="s">
        <v>815</v>
      </c>
      <c r="B115" s="1316" t="s">
        <v>418</v>
      </c>
      <c r="C115" s="1316" t="s">
        <v>439</v>
      </c>
      <c r="D115" s="1317" t="s">
        <v>432</v>
      </c>
      <c r="E115" s="1318">
        <v>1.5</v>
      </c>
      <c r="F115" s="1319" t="s">
        <v>442</v>
      </c>
      <c r="G115" s="1315">
        <v>4582</v>
      </c>
      <c r="H115" s="238">
        <f t="shared" si="20"/>
        <v>0</v>
      </c>
      <c r="I115" s="1333"/>
      <c r="J115" s="1333"/>
      <c r="K115" s="1334"/>
      <c r="L115" s="1318">
        <v>0.5</v>
      </c>
      <c r="M115" s="233">
        <f t="shared" si="33"/>
        <v>0</v>
      </c>
      <c r="N115" s="233">
        <f t="shared" si="34"/>
        <v>0</v>
      </c>
      <c r="O115" s="234">
        <f t="shared" si="35"/>
        <v>0</v>
      </c>
      <c r="P115" s="234">
        <f t="shared" si="36"/>
        <v>0</v>
      </c>
      <c r="Q115" s="1341">
        <v>0</v>
      </c>
    </row>
    <row r="116" spans="1:18" hidden="1" outlineLevel="1">
      <c r="A116" s="190" t="s">
        <v>815</v>
      </c>
      <c r="B116" s="1316" t="s">
        <v>418</v>
      </c>
      <c r="C116" s="1316" t="s">
        <v>439</v>
      </c>
      <c r="D116" s="1317" t="s">
        <v>432</v>
      </c>
      <c r="E116" s="1318">
        <v>1.5</v>
      </c>
      <c r="F116" s="1317" t="s">
        <v>443</v>
      </c>
      <c r="G116" s="1315">
        <v>2826</v>
      </c>
      <c r="H116" s="238">
        <f t="shared" si="20"/>
        <v>4.3040000000000002E-2</v>
      </c>
      <c r="I116" s="1333">
        <v>4.3040000000000002E-2</v>
      </c>
      <c r="J116" s="1333"/>
      <c r="K116" s="1334"/>
      <c r="L116" s="1318">
        <v>0.5</v>
      </c>
      <c r="M116" s="233">
        <f t="shared" si="33"/>
        <v>91.223280000000003</v>
      </c>
      <c r="N116" s="233">
        <f t="shared" si="34"/>
        <v>91.223280000000003</v>
      </c>
      <c r="O116" s="234">
        <f t="shared" si="35"/>
        <v>0</v>
      </c>
      <c r="P116" s="234">
        <f t="shared" si="36"/>
        <v>0</v>
      </c>
      <c r="Q116" s="1341">
        <v>0</v>
      </c>
    </row>
    <row r="117" spans="1:18" hidden="1" outlineLevel="1">
      <c r="A117" s="190" t="s">
        <v>815</v>
      </c>
      <c r="B117" s="1316" t="s">
        <v>418</v>
      </c>
      <c r="C117" s="1316" t="s">
        <v>439</v>
      </c>
      <c r="D117" s="1317" t="s">
        <v>432</v>
      </c>
      <c r="E117" s="1318">
        <v>1.5</v>
      </c>
      <c r="F117" s="1319" t="s">
        <v>444</v>
      </c>
      <c r="G117" s="1315">
        <v>12014</v>
      </c>
      <c r="H117" s="238">
        <f t="shared" si="20"/>
        <v>2.6090000000000002E-3</v>
      </c>
      <c r="I117" s="1333">
        <v>2.6090000000000002E-3</v>
      </c>
      <c r="J117" s="1333"/>
      <c r="K117" s="1334"/>
      <c r="L117" s="1318">
        <v>0.5</v>
      </c>
      <c r="M117" s="233">
        <f t="shared" si="18"/>
        <v>23.508394500000001</v>
      </c>
      <c r="N117" s="233">
        <f t="shared" si="0"/>
        <v>23.508394500000001</v>
      </c>
      <c r="O117" s="234">
        <f t="shared" si="1"/>
        <v>0</v>
      </c>
      <c r="P117" s="234">
        <f t="shared" si="19"/>
        <v>0</v>
      </c>
      <c r="Q117" s="1341">
        <v>0</v>
      </c>
    </row>
    <row r="118" spans="1:18" hidden="1" outlineLevel="1">
      <c r="A118" s="190" t="s">
        <v>815</v>
      </c>
      <c r="B118" s="1320" t="s">
        <v>418</v>
      </c>
      <c r="C118" s="1320" t="s">
        <v>439</v>
      </c>
      <c r="D118" s="1321" t="s">
        <v>432</v>
      </c>
      <c r="E118" s="1322">
        <v>1.5</v>
      </c>
      <c r="F118" s="1324" t="s">
        <v>445</v>
      </c>
      <c r="G118" s="1323">
        <v>24326</v>
      </c>
      <c r="H118" s="239">
        <f t="shared" si="20"/>
        <v>1.2999999999999999E-5</v>
      </c>
      <c r="I118" s="1335">
        <v>1.2999999999999999E-5</v>
      </c>
      <c r="J118" s="1335"/>
      <c r="K118" s="1336"/>
      <c r="L118" s="1322">
        <v>0.5</v>
      </c>
      <c r="M118" s="227">
        <f t="shared" si="18"/>
        <v>0.23717849999999999</v>
      </c>
      <c r="N118" s="227">
        <f t="shared" si="0"/>
        <v>0.23717849999999999</v>
      </c>
      <c r="O118" s="228">
        <f t="shared" si="1"/>
        <v>0</v>
      </c>
      <c r="P118" s="228">
        <f t="shared" si="19"/>
        <v>0</v>
      </c>
      <c r="Q118" s="1342">
        <v>0</v>
      </c>
    </row>
    <row r="119" spans="1:18" hidden="1" outlineLevel="1">
      <c r="A119" s="190" t="s">
        <v>815</v>
      </c>
      <c r="B119" s="1316" t="s">
        <v>411</v>
      </c>
      <c r="C119" s="1316" t="s">
        <v>440</v>
      </c>
      <c r="D119" s="1317" t="s">
        <v>432</v>
      </c>
      <c r="E119" s="1318">
        <v>1.5</v>
      </c>
      <c r="F119" s="1317" t="s">
        <v>868</v>
      </c>
      <c r="G119" s="1315">
        <v>1435</v>
      </c>
      <c r="H119" s="238">
        <f t="shared" si="20"/>
        <v>4.0959999999999998E-3</v>
      </c>
      <c r="I119" s="1333">
        <v>4.0959999999999998E-3</v>
      </c>
      <c r="J119" s="1333"/>
      <c r="K119" s="1334"/>
      <c r="L119" s="1318">
        <v>0.5</v>
      </c>
      <c r="M119" s="233">
        <f t="shared" si="18"/>
        <v>4.4083199999999998</v>
      </c>
      <c r="N119" s="233">
        <f t="shared" si="0"/>
        <v>4.4083199999999998</v>
      </c>
      <c r="O119" s="234">
        <f t="shared" si="1"/>
        <v>0</v>
      </c>
      <c r="P119" s="234">
        <f t="shared" si="19"/>
        <v>0</v>
      </c>
      <c r="Q119" s="1341">
        <v>0</v>
      </c>
    </row>
    <row r="120" spans="1:18" hidden="1" outlineLevel="1">
      <c r="A120" s="190" t="s">
        <v>815</v>
      </c>
      <c r="B120" s="1316" t="s">
        <v>411</v>
      </c>
      <c r="C120" s="1316" t="s">
        <v>440</v>
      </c>
      <c r="D120" s="1317" t="s">
        <v>432</v>
      </c>
      <c r="E120" s="1318">
        <v>1.5</v>
      </c>
      <c r="F120" s="1319" t="s">
        <v>441</v>
      </c>
      <c r="G120" s="1315">
        <v>552.89</v>
      </c>
      <c r="H120" s="238">
        <f t="shared" si="20"/>
        <v>4.4279999999999996E-3</v>
      </c>
      <c r="I120" s="1333">
        <v>4.4279999999999996E-3</v>
      </c>
      <c r="J120" s="1333"/>
      <c r="K120" s="1334"/>
      <c r="L120" s="1318">
        <v>0.5</v>
      </c>
      <c r="M120" s="233">
        <f t="shared" si="18"/>
        <v>1.83614769</v>
      </c>
      <c r="N120" s="233">
        <f t="shared" si="0"/>
        <v>1.83614769</v>
      </c>
      <c r="O120" s="234">
        <f t="shared" si="1"/>
        <v>0</v>
      </c>
      <c r="P120" s="234">
        <f t="shared" si="19"/>
        <v>0</v>
      </c>
      <c r="Q120" s="1341">
        <v>0</v>
      </c>
    </row>
    <row r="121" spans="1:18" hidden="1" outlineLevel="1">
      <c r="A121" s="190" t="s">
        <v>815</v>
      </c>
      <c r="B121" s="1316" t="s">
        <v>411</v>
      </c>
      <c r="C121" s="1316" t="s">
        <v>440</v>
      </c>
      <c r="D121" s="1317" t="s">
        <v>432</v>
      </c>
      <c r="E121" s="1318">
        <v>1.5</v>
      </c>
      <c r="F121" s="1319" t="s">
        <v>442</v>
      </c>
      <c r="G121" s="1315">
        <v>4582</v>
      </c>
      <c r="H121" s="238">
        <f t="shared" si="20"/>
        <v>0</v>
      </c>
      <c r="I121" s="1333"/>
      <c r="J121" s="1333"/>
      <c r="K121" s="1334"/>
      <c r="L121" s="1318">
        <v>0.5</v>
      </c>
      <c r="M121" s="233">
        <f t="shared" si="18"/>
        <v>0</v>
      </c>
      <c r="N121" s="233">
        <f t="shared" si="0"/>
        <v>0</v>
      </c>
      <c r="O121" s="234">
        <f t="shared" si="1"/>
        <v>0</v>
      </c>
      <c r="P121" s="234">
        <f t="shared" si="19"/>
        <v>0</v>
      </c>
      <c r="Q121" s="1341">
        <v>0</v>
      </c>
    </row>
    <row r="122" spans="1:18" hidden="1" outlineLevel="1">
      <c r="A122" s="190" t="s">
        <v>815</v>
      </c>
      <c r="B122" s="1316" t="s">
        <v>411</v>
      </c>
      <c r="C122" s="1316" t="s">
        <v>440</v>
      </c>
      <c r="D122" s="1317" t="s">
        <v>432</v>
      </c>
      <c r="E122" s="1318">
        <v>1.5</v>
      </c>
      <c r="F122" s="1319" t="s">
        <v>443</v>
      </c>
      <c r="G122" s="1315">
        <v>2826</v>
      </c>
      <c r="H122" s="238">
        <f t="shared" si="20"/>
        <v>3.7637999999999998E-2</v>
      </c>
      <c r="I122" s="1333">
        <v>3.7637999999999998E-2</v>
      </c>
      <c r="J122" s="1333"/>
      <c r="K122" s="1334"/>
      <c r="L122" s="1318">
        <v>0.5</v>
      </c>
      <c r="M122" s="233">
        <f t="shared" si="18"/>
        <v>79.773741000000001</v>
      </c>
      <c r="N122" s="233">
        <f t="shared" si="0"/>
        <v>79.773741000000001</v>
      </c>
      <c r="O122" s="234">
        <f t="shared" si="1"/>
        <v>0</v>
      </c>
      <c r="P122" s="234">
        <f t="shared" si="19"/>
        <v>0</v>
      </c>
      <c r="Q122" s="1341">
        <v>0</v>
      </c>
    </row>
    <row r="123" spans="1:18" hidden="1" outlineLevel="1">
      <c r="A123" s="190" t="s">
        <v>815</v>
      </c>
      <c r="B123" s="1320" t="s">
        <v>411</v>
      </c>
      <c r="C123" s="1320" t="s">
        <v>440</v>
      </c>
      <c r="D123" s="1321" t="s">
        <v>432</v>
      </c>
      <c r="E123" s="1322">
        <v>1.5</v>
      </c>
      <c r="F123" s="1321" t="s">
        <v>444</v>
      </c>
      <c r="G123" s="1323">
        <v>12014</v>
      </c>
      <c r="H123" s="239">
        <f t="shared" si="20"/>
        <v>4.0959999999999998E-3</v>
      </c>
      <c r="I123" s="1335">
        <v>4.0959999999999998E-3</v>
      </c>
      <c r="J123" s="1335"/>
      <c r="K123" s="1336"/>
      <c r="L123" s="1322">
        <v>0.5</v>
      </c>
      <c r="M123" s="227">
        <f t="shared" si="18"/>
        <v>36.907007999999998</v>
      </c>
      <c r="N123" s="227">
        <f t="shared" si="0"/>
        <v>36.907007999999998</v>
      </c>
      <c r="O123" s="228">
        <f t="shared" si="1"/>
        <v>0</v>
      </c>
      <c r="P123" s="228">
        <f t="shared" si="19"/>
        <v>0</v>
      </c>
      <c r="Q123" s="1342">
        <v>0</v>
      </c>
    </row>
    <row r="124" spans="1:18" hidden="1" outlineLevel="1">
      <c r="A124" s="190" t="s">
        <v>815</v>
      </c>
      <c r="B124" s="1316" t="s">
        <v>409</v>
      </c>
      <c r="C124" s="1316" t="s">
        <v>594</v>
      </c>
      <c r="D124" s="1317" t="s">
        <v>432</v>
      </c>
      <c r="E124" s="1318">
        <v>1</v>
      </c>
      <c r="F124" s="1319" t="s">
        <v>868</v>
      </c>
      <c r="G124" s="1315">
        <v>1435</v>
      </c>
      <c r="H124" s="238">
        <f t="shared" si="20"/>
        <v>5.3860000000000002E-3</v>
      </c>
      <c r="I124" s="1333">
        <v>5.3860000000000002E-3</v>
      </c>
      <c r="J124" s="1333"/>
      <c r="K124" s="1334"/>
      <c r="L124" s="1318">
        <v>0.5</v>
      </c>
      <c r="M124" s="233">
        <f t="shared" si="18"/>
        <v>3.864455</v>
      </c>
      <c r="N124" s="233">
        <f t="shared" si="0"/>
        <v>3.864455</v>
      </c>
      <c r="O124" s="234">
        <f t="shared" si="1"/>
        <v>0</v>
      </c>
      <c r="P124" s="234">
        <f t="shared" si="19"/>
        <v>0</v>
      </c>
      <c r="Q124" s="1341">
        <v>0</v>
      </c>
    </row>
    <row r="125" spans="1:18" hidden="1" outlineLevel="1">
      <c r="A125" s="190" t="s">
        <v>815</v>
      </c>
      <c r="B125" s="1316" t="s">
        <v>409</v>
      </c>
      <c r="C125" s="1316" t="s">
        <v>594</v>
      </c>
      <c r="D125" s="1317" t="s">
        <v>432</v>
      </c>
      <c r="E125" s="1318">
        <v>1</v>
      </c>
      <c r="F125" s="1319" t="s">
        <v>441</v>
      </c>
      <c r="G125" s="1315">
        <v>552.89</v>
      </c>
      <c r="H125" s="238">
        <f t="shared" si="20"/>
        <v>9.5040000000000003E-3</v>
      </c>
      <c r="I125" s="1333">
        <v>9.5040000000000003E-3</v>
      </c>
      <c r="J125" s="1333"/>
      <c r="K125" s="1334"/>
      <c r="L125" s="1318">
        <v>0.5</v>
      </c>
      <c r="M125" s="233">
        <f t="shared" si="18"/>
        <v>2.6273332800000002</v>
      </c>
      <c r="N125" s="233">
        <f t="shared" si="0"/>
        <v>2.6273332800000002</v>
      </c>
      <c r="O125" s="234">
        <f t="shared" si="1"/>
        <v>0</v>
      </c>
      <c r="P125" s="234">
        <f t="shared" si="19"/>
        <v>0</v>
      </c>
      <c r="Q125" s="1341">
        <v>0</v>
      </c>
    </row>
    <row r="126" spans="1:18" hidden="1" outlineLevel="1">
      <c r="A126" s="190" t="s">
        <v>815</v>
      </c>
      <c r="B126" s="1316" t="s">
        <v>409</v>
      </c>
      <c r="C126" s="1316" t="s">
        <v>594</v>
      </c>
      <c r="D126" s="1317" t="s">
        <v>432</v>
      </c>
      <c r="E126" s="1318">
        <v>1</v>
      </c>
      <c r="F126" s="1319" t="s">
        <v>442</v>
      </c>
      <c r="G126" s="1315">
        <v>4582</v>
      </c>
      <c r="H126" s="238">
        <f t="shared" si="20"/>
        <v>0</v>
      </c>
      <c r="I126" s="1333"/>
      <c r="J126" s="1333"/>
      <c r="K126" s="1334"/>
      <c r="L126" s="1318">
        <v>0.5</v>
      </c>
      <c r="M126" s="233">
        <f t="shared" si="18"/>
        <v>0</v>
      </c>
      <c r="N126" s="233">
        <f t="shared" si="0"/>
        <v>0</v>
      </c>
      <c r="O126" s="234">
        <f t="shared" si="1"/>
        <v>0</v>
      </c>
      <c r="P126" s="234">
        <f t="shared" si="19"/>
        <v>0</v>
      </c>
      <c r="Q126" s="1341">
        <v>0</v>
      </c>
    </row>
    <row r="127" spans="1:18" hidden="1" outlineLevel="1">
      <c r="A127" s="190" t="s">
        <v>815</v>
      </c>
      <c r="B127" s="1316" t="s">
        <v>409</v>
      </c>
      <c r="C127" s="1316" t="s">
        <v>594</v>
      </c>
      <c r="D127" s="1317" t="s">
        <v>432</v>
      </c>
      <c r="E127" s="1318">
        <v>1</v>
      </c>
      <c r="F127" s="1317" t="s">
        <v>443</v>
      </c>
      <c r="G127" s="1315">
        <v>2826</v>
      </c>
      <c r="H127" s="238">
        <f t="shared" si="20"/>
        <v>2.9304E-2</v>
      </c>
      <c r="I127" s="1333">
        <v>2.9304E-2</v>
      </c>
      <c r="J127" s="1333"/>
      <c r="K127" s="1334"/>
      <c r="L127" s="1318">
        <v>0.5</v>
      </c>
      <c r="M127" s="233">
        <f t="shared" si="18"/>
        <v>41.406551999999998</v>
      </c>
      <c r="N127" s="233">
        <f t="shared" si="0"/>
        <v>41.406551999999998</v>
      </c>
      <c r="O127" s="234">
        <f t="shared" si="1"/>
        <v>0</v>
      </c>
      <c r="P127" s="234">
        <f t="shared" si="19"/>
        <v>0</v>
      </c>
      <c r="Q127" s="1341">
        <v>0</v>
      </c>
    </row>
    <row r="128" spans="1:18" hidden="1" outlineLevel="1">
      <c r="A128" s="191" t="s">
        <v>815</v>
      </c>
      <c r="B128" s="1320" t="s">
        <v>409</v>
      </c>
      <c r="C128" s="1320" t="s">
        <v>594</v>
      </c>
      <c r="D128" s="1321" t="s">
        <v>432</v>
      </c>
      <c r="E128" s="1322">
        <v>1</v>
      </c>
      <c r="F128" s="1324" t="s">
        <v>444</v>
      </c>
      <c r="G128" s="1323">
        <v>12014</v>
      </c>
      <c r="H128" s="239">
        <f t="shared" si="20"/>
        <v>4.2000000000000002E-4</v>
      </c>
      <c r="I128" s="1335">
        <v>4.2000000000000002E-4</v>
      </c>
      <c r="J128" s="1335"/>
      <c r="K128" s="1336"/>
      <c r="L128" s="1322">
        <v>0.5</v>
      </c>
      <c r="M128" s="227">
        <f t="shared" si="18"/>
        <v>2.5229400000000002</v>
      </c>
      <c r="N128" s="227">
        <f t="shared" si="0"/>
        <v>2.5229400000000002</v>
      </c>
      <c r="O128" s="228">
        <f t="shared" si="1"/>
        <v>0</v>
      </c>
      <c r="P128" s="228">
        <f t="shared" si="19"/>
        <v>0</v>
      </c>
      <c r="Q128" s="1342">
        <v>0</v>
      </c>
      <c r="R128" s="512">
        <f>SUM(M89:M128)</f>
        <v>9641.0734550299985</v>
      </c>
    </row>
    <row r="129" spans="1:17" hidden="1" outlineLevel="1">
      <c r="A129" s="190" t="s">
        <v>815</v>
      </c>
      <c r="B129" s="1316" t="s">
        <v>434</v>
      </c>
      <c r="C129" s="1316" t="s">
        <v>435</v>
      </c>
      <c r="D129" s="1317" t="s">
        <v>433</v>
      </c>
      <c r="E129" s="1318">
        <v>1</v>
      </c>
      <c r="F129" s="1317" t="s">
        <v>868</v>
      </c>
      <c r="G129" s="1315">
        <v>1435</v>
      </c>
      <c r="H129" s="238">
        <f t="shared" si="20"/>
        <v>5.1029999999999999E-2</v>
      </c>
      <c r="I129" s="1333">
        <v>5.1029999999999999E-2</v>
      </c>
      <c r="J129" s="1333"/>
      <c r="K129" s="1334"/>
      <c r="L129" s="1318">
        <v>1</v>
      </c>
      <c r="M129" s="233">
        <f t="shared" si="18"/>
        <v>73.228049999999996</v>
      </c>
      <c r="N129" s="233">
        <f t="shared" si="0"/>
        <v>73.228049999999996</v>
      </c>
      <c r="O129" s="234">
        <f t="shared" si="1"/>
        <v>0</v>
      </c>
      <c r="P129" s="234">
        <f t="shared" si="19"/>
        <v>0</v>
      </c>
      <c r="Q129" s="1341">
        <v>0</v>
      </c>
    </row>
    <row r="130" spans="1:17" hidden="1" outlineLevel="1">
      <c r="A130" s="190" t="s">
        <v>815</v>
      </c>
      <c r="B130" s="1316" t="s">
        <v>434</v>
      </c>
      <c r="C130" s="1316" t="s">
        <v>435</v>
      </c>
      <c r="D130" s="1317" t="s">
        <v>433</v>
      </c>
      <c r="E130" s="1318">
        <v>1</v>
      </c>
      <c r="F130" s="1319" t="s">
        <v>441</v>
      </c>
      <c r="G130" s="1315">
        <v>552.89</v>
      </c>
      <c r="H130" s="238">
        <f t="shared" si="20"/>
        <v>8.8200000000000001E-2</v>
      </c>
      <c r="I130" s="1333">
        <v>8.8200000000000001E-2</v>
      </c>
      <c r="J130" s="1333"/>
      <c r="K130" s="1334"/>
      <c r="L130" s="1318">
        <v>1</v>
      </c>
      <c r="M130" s="233">
        <f t="shared" si="18"/>
        <v>48.764898000000002</v>
      </c>
      <c r="N130" s="233">
        <f t="shared" si="0"/>
        <v>48.764898000000002</v>
      </c>
      <c r="O130" s="234">
        <f t="shared" si="1"/>
        <v>0</v>
      </c>
      <c r="P130" s="234">
        <f t="shared" si="19"/>
        <v>0</v>
      </c>
      <c r="Q130" s="1341">
        <v>0</v>
      </c>
    </row>
    <row r="131" spans="1:17" hidden="1" outlineLevel="1">
      <c r="A131" s="190" t="s">
        <v>815</v>
      </c>
      <c r="B131" s="1316" t="s">
        <v>434</v>
      </c>
      <c r="C131" s="1316" t="s">
        <v>435</v>
      </c>
      <c r="D131" s="1317" t="s">
        <v>433</v>
      </c>
      <c r="E131" s="1318">
        <v>1</v>
      </c>
      <c r="F131" s="1319" t="s">
        <v>442</v>
      </c>
      <c r="G131" s="1315">
        <v>4582</v>
      </c>
      <c r="H131" s="238">
        <f t="shared" si="20"/>
        <v>0</v>
      </c>
      <c r="I131" s="1333"/>
      <c r="J131" s="1333"/>
      <c r="K131" s="1334"/>
      <c r="L131" s="1318">
        <v>1</v>
      </c>
      <c r="M131" s="233">
        <f t="shared" si="18"/>
        <v>0</v>
      </c>
      <c r="N131" s="233">
        <f t="shared" si="0"/>
        <v>0</v>
      </c>
      <c r="O131" s="234">
        <f t="shared" si="1"/>
        <v>0</v>
      </c>
      <c r="P131" s="234">
        <f t="shared" si="19"/>
        <v>0</v>
      </c>
      <c r="Q131" s="1341">
        <v>0</v>
      </c>
    </row>
    <row r="132" spans="1:17" hidden="1" outlineLevel="1">
      <c r="A132" s="190" t="s">
        <v>815</v>
      </c>
      <c r="B132" s="1316" t="s">
        <v>434</v>
      </c>
      <c r="C132" s="1316" t="s">
        <v>435</v>
      </c>
      <c r="D132" s="1317" t="s">
        <v>433</v>
      </c>
      <c r="E132" s="1318">
        <v>1</v>
      </c>
      <c r="F132" s="1319" t="s">
        <v>443</v>
      </c>
      <c r="G132" s="1315">
        <v>2826</v>
      </c>
      <c r="H132" s="238">
        <f t="shared" si="20"/>
        <v>0.2205</v>
      </c>
      <c r="I132" s="1333">
        <v>0.2205</v>
      </c>
      <c r="J132" s="1333"/>
      <c r="K132" s="1334"/>
      <c r="L132" s="1318">
        <v>1</v>
      </c>
      <c r="M132" s="233">
        <f t="shared" si="18"/>
        <v>623.13300000000004</v>
      </c>
      <c r="N132" s="233">
        <f t="shared" si="0"/>
        <v>623.13300000000004</v>
      </c>
      <c r="O132" s="234">
        <f t="shared" si="1"/>
        <v>0</v>
      </c>
      <c r="P132" s="234">
        <f t="shared" si="19"/>
        <v>0</v>
      </c>
      <c r="Q132" s="1341">
        <v>0</v>
      </c>
    </row>
    <row r="133" spans="1:17" hidden="1" outlineLevel="1">
      <c r="A133" s="190" t="s">
        <v>815</v>
      </c>
      <c r="B133" s="1316" t="s">
        <v>434</v>
      </c>
      <c r="C133" s="1316" t="s">
        <v>435</v>
      </c>
      <c r="D133" s="1317" t="s">
        <v>433</v>
      </c>
      <c r="E133" s="1318">
        <v>1</v>
      </c>
      <c r="F133" s="1319" t="s">
        <v>444</v>
      </c>
      <c r="G133" s="1315">
        <v>12014</v>
      </c>
      <c r="H133" s="238">
        <f t="shared" ref="H133:H163" si="39">SUM(I133:K133)</f>
        <v>2.4570000000000002E-2</v>
      </c>
      <c r="I133" s="1333">
        <v>1.26E-2</v>
      </c>
      <c r="J133" s="1333">
        <v>1.197E-2</v>
      </c>
      <c r="K133" s="1334"/>
      <c r="L133" s="1318">
        <v>1</v>
      </c>
      <c r="M133" s="233">
        <f t="shared" ref="M133:M163" si="40">SUM(N133:P133)-Q133</f>
        <v>1589.4522000000002</v>
      </c>
      <c r="N133" s="233">
        <f t="shared" ref="N133:N163" si="41">E133*G133*I133*L133</f>
        <v>151.37639999999999</v>
      </c>
      <c r="O133" s="234">
        <f t="shared" ref="O133:O163" si="42">E133*G133*J133*L133*10</f>
        <v>1438.0758000000001</v>
      </c>
      <c r="P133" s="234">
        <f t="shared" ref="P133:P163" si="43">E133*G133*K133*L133*15</f>
        <v>0</v>
      </c>
      <c r="Q133" s="1341">
        <v>0</v>
      </c>
    </row>
    <row r="134" spans="1:17" hidden="1" outlineLevel="1">
      <c r="A134" s="190" t="s">
        <v>815</v>
      </c>
      <c r="B134" s="1320" t="s">
        <v>434</v>
      </c>
      <c r="C134" s="1320" t="s">
        <v>435</v>
      </c>
      <c r="D134" s="1321" t="s">
        <v>433</v>
      </c>
      <c r="E134" s="1322">
        <v>1</v>
      </c>
      <c r="F134" s="1324" t="s">
        <v>445</v>
      </c>
      <c r="G134" s="1323">
        <v>24326</v>
      </c>
      <c r="H134" s="239">
        <f t="shared" si="39"/>
        <v>0</v>
      </c>
      <c r="I134" s="1335"/>
      <c r="J134" s="1335"/>
      <c r="K134" s="1336"/>
      <c r="L134" s="1322">
        <v>1</v>
      </c>
      <c r="M134" s="227">
        <f t="shared" si="40"/>
        <v>0</v>
      </c>
      <c r="N134" s="227">
        <f t="shared" si="41"/>
        <v>0</v>
      </c>
      <c r="O134" s="228">
        <f t="shared" si="42"/>
        <v>0</v>
      </c>
      <c r="P134" s="228">
        <f t="shared" si="43"/>
        <v>0</v>
      </c>
      <c r="Q134" s="1342">
        <v>0</v>
      </c>
    </row>
    <row r="135" spans="1:17" hidden="1" outlineLevel="1">
      <c r="A135" s="190" t="s">
        <v>815</v>
      </c>
      <c r="B135" s="1320" t="s">
        <v>869</v>
      </c>
      <c r="C135" s="1320" t="s">
        <v>870</v>
      </c>
      <c r="D135" s="1321" t="s">
        <v>433</v>
      </c>
      <c r="E135" s="1322">
        <v>1</v>
      </c>
      <c r="F135" s="1324" t="s">
        <v>442</v>
      </c>
      <c r="G135" s="1323">
        <v>4582</v>
      </c>
      <c r="H135" s="239">
        <f t="shared" ref="H135:H136" si="44">SUM(I135:K135)</f>
        <v>0</v>
      </c>
      <c r="I135" s="1482"/>
      <c r="J135" s="1482"/>
      <c r="K135" s="1482"/>
      <c r="L135" s="1322">
        <v>0.5</v>
      </c>
      <c r="M135" s="520">
        <f t="shared" si="40"/>
        <v>0</v>
      </c>
      <c r="N135" s="521">
        <v>0</v>
      </c>
      <c r="O135" s="522">
        <f t="shared" ref="O135:O138" si="45">E135*G135*J135</f>
        <v>0</v>
      </c>
      <c r="P135" s="522"/>
      <c r="Q135" s="1342">
        <v>0</v>
      </c>
    </row>
    <row r="136" spans="1:17" hidden="1" outlineLevel="1">
      <c r="A136" s="190" t="s">
        <v>815</v>
      </c>
      <c r="B136" s="1320" t="s">
        <v>1301</v>
      </c>
      <c r="C136" s="1320" t="s">
        <v>867</v>
      </c>
      <c r="D136" s="1321" t="s">
        <v>433</v>
      </c>
      <c r="E136" s="1322">
        <v>1.5</v>
      </c>
      <c r="F136" s="1324" t="s">
        <v>441</v>
      </c>
      <c r="G136" s="1323">
        <v>552.89</v>
      </c>
      <c r="H136" s="239">
        <f t="shared" si="44"/>
        <v>0</v>
      </c>
      <c r="I136" s="1482"/>
      <c r="J136" s="1482"/>
      <c r="K136" s="1482"/>
      <c r="L136" s="1322">
        <v>0.5</v>
      </c>
      <c r="M136" s="520">
        <f t="shared" si="40"/>
        <v>0</v>
      </c>
      <c r="N136" s="521">
        <v>0</v>
      </c>
      <c r="O136" s="522">
        <f t="shared" si="45"/>
        <v>0</v>
      </c>
      <c r="P136" s="522"/>
      <c r="Q136" s="1342">
        <v>0</v>
      </c>
    </row>
    <row r="137" spans="1:17" hidden="1" outlineLevel="1">
      <c r="A137" s="190" t="s">
        <v>815</v>
      </c>
      <c r="B137" s="1325" t="s">
        <v>620</v>
      </c>
      <c r="C137" s="1325" t="s">
        <v>621</v>
      </c>
      <c r="D137" s="1321" t="s">
        <v>1260</v>
      </c>
      <c r="E137" s="1327">
        <v>1</v>
      </c>
      <c r="F137" s="1324" t="s">
        <v>441</v>
      </c>
      <c r="G137" s="1323">
        <v>552.89</v>
      </c>
      <c r="H137" s="239">
        <f t="shared" ref="H137:H138" si="46">SUM(I137:K137)</f>
        <v>0</v>
      </c>
      <c r="I137" s="1482"/>
      <c r="J137" s="1338"/>
      <c r="K137" s="1338"/>
      <c r="L137" s="1322">
        <v>0.5</v>
      </c>
      <c r="M137" s="520">
        <f t="shared" si="40"/>
        <v>0</v>
      </c>
      <c r="N137" s="521">
        <v>0</v>
      </c>
      <c r="O137" s="522">
        <f t="shared" si="45"/>
        <v>0</v>
      </c>
      <c r="P137" s="522"/>
      <c r="Q137" s="1342">
        <v>0</v>
      </c>
    </row>
    <row r="138" spans="1:17" hidden="1" outlineLevel="1">
      <c r="A138" s="190" t="s">
        <v>815</v>
      </c>
      <c r="B138" s="1325" t="s">
        <v>622</v>
      </c>
      <c r="C138" s="1325" t="s">
        <v>619</v>
      </c>
      <c r="D138" s="1321" t="s">
        <v>1260</v>
      </c>
      <c r="E138" s="1327">
        <v>1</v>
      </c>
      <c r="F138" s="1324" t="s">
        <v>441</v>
      </c>
      <c r="G138" s="1323">
        <v>552.89</v>
      </c>
      <c r="H138" s="239">
        <f t="shared" si="46"/>
        <v>0</v>
      </c>
      <c r="I138" s="1482"/>
      <c r="J138" s="1338"/>
      <c r="K138" s="1338"/>
      <c r="L138" s="1322">
        <v>0.5</v>
      </c>
      <c r="M138" s="520">
        <f t="shared" si="40"/>
        <v>0</v>
      </c>
      <c r="N138" s="521">
        <v>0</v>
      </c>
      <c r="O138" s="522">
        <f t="shared" si="45"/>
        <v>0</v>
      </c>
      <c r="P138" s="522"/>
      <c r="Q138" s="1342">
        <v>0</v>
      </c>
    </row>
    <row r="139" spans="1:17" hidden="1" outlineLevel="1">
      <c r="A139" s="190" t="s">
        <v>815</v>
      </c>
      <c r="B139" s="1316" t="s">
        <v>436</v>
      </c>
      <c r="C139" s="1316" t="s">
        <v>591</v>
      </c>
      <c r="D139" s="1317" t="s">
        <v>433</v>
      </c>
      <c r="E139" s="1318">
        <v>1</v>
      </c>
      <c r="F139" s="1319" t="s">
        <v>868</v>
      </c>
      <c r="G139" s="1315">
        <v>1435</v>
      </c>
      <c r="H139" s="238">
        <f t="shared" si="39"/>
        <v>0</v>
      </c>
      <c r="I139" s="1333"/>
      <c r="J139" s="1333"/>
      <c r="K139" s="1334"/>
      <c r="L139" s="1318">
        <v>0.5</v>
      </c>
      <c r="M139" s="233">
        <f t="shared" si="40"/>
        <v>0</v>
      </c>
      <c r="N139" s="233">
        <f t="shared" si="41"/>
        <v>0</v>
      </c>
      <c r="O139" s="234">
        <f t="shared" si="42"/>
        <v>0</v>
      </c>
      <c r="P139" s="234">
        <f t="shared" si="43"/>
        <v>0</v>
      </c>
      <c r="Q139" s="1341">
        <v>0</v>
      </c>
    </row>
    <row r="140" spans="1:17" hidden="1" outlineLevel="1">
      <c r="A140" s="190" t="s">
        <v>815</v>
      </c>
      <c r="B140" s="1316" t="s">
        <v>436</v>
      </c>
      <c r="C140" s="1316" t="s">
        <v>591</v>
      </c>
      <c r="D140" s="1317" t="s">
        <v>433</v>
      </c>
      <c r="E140" s="1318">
        <v>1</v>
      </c>
      <c r="F140" s="1319" t="s">
        <v>441</v>
      </c>
      <c r="G140" s="1315">
        <v>552.89</v>
      </c>
      <c r="H140" s="238">
        <f t="shared" si="39"/>
        <v>0</v>
      </c>
      <c r="I140" s="1333"/>
      <c r="J140" s="1333"/>
      <c r="K140" s="1334"/>
      <c r="L140" s="1318">
        <v>0.5</v>
      </c>
      <c r="M140" s="233">
        <f t="shared" si="40"/>
        <v>0</v>
      </c>
      <c r="N140" s="233">
        <f t="shared" si="41"/>
        <v>0</v>
      </c>
      <c r="O140" s="234">
        <f t="shared" si="42"/>
        <v>0</v>
      </c>
      <c r="P140" s="234">
        <f t="shared" si="43"/>
        <v>0</v>
      </c>
      <c r="Q140" s="1341">
        <v>0</v>
      </c>
    </row>
    <row r="141" spans="1:17" hidden="1" outlineLevel="1">
      <c r="A141" s="190" t="s">
        <v>815</v>
      </c>
      <c r="B141" s="1316" t="s">
        <v>436</v>
      </c>
      <c r="C141" s="1316" t="s">
        <v>591</v>
      </c>
      <c r="D141" s="1317" t="s">
        <v>433</v>
      </c>
      <c r="E141" s="1318">
        <v>1</v>
      </c>
      <c r="F141" s="1319" t="s">
        <v>443</v>
      </c>
      <c r="G141" s="1315">
        <v>2826</v>
      </c>
      <c r="H141" s="238">
        <f t="shared" ref="H141:H142" si="47">SUM(I141:K141)</f>
        <v>0</v>
      </c>
      <c r="I141" s="1333"/>
      <c r="J141" s="1333"/>
      <c r="K141" s="1334"/>
      <c r="L141" s="1318">
        <v>0.5</v>
      </c>
      <c r="M141" s="233">
        <f t="shared" ref="M141:M142" si="48">SUM(N141:P141)-Q141</f>
        <v>0</v>
      </c>
      <c r="N141" s="233">
        <f t="shared" ref="N141:N142" si="49">E141*G141*I141*L141</f>
        <v>0</v>
      </c>
      <c r="O141" s="234">
        <f t="shared" ref="O141:O142" si="50">E141*G141*J141*L141*10</f>
        <v>0</v>
      </c>
      <c r="P141" s="234">
        <f t="shared" ref="P141:P142" si="51">E141*G141*K141*L141*15</f>
        <v>0</v>
      </c>
      <c r="Q141" s="1341">
        <v>0</v>
      </c>
    </row>
    <row r="142" spans="1:17" hidden="1" outlineLevel="1">
      <c r="A142" s="190" t="s">
        <v>815</v>
      </c>
      <c r="B142" s="1320" t="s">
        <v>436</v>
      </c>
      <c r="C142" s="1320" t="s">
        <v>591</v>
      </c>
      <c r="D142" s="1321" t="s">
        <v>433</v>
      </c>
      <c r="E142" s="1322">
        <v>1</v>
      </c>
      <c r="F142" s="1324" t="s">
        <v>444</v>
      </c>
      <c r="G142" s="1323">
        <v>12014</v>
      </c>
      <c r="H142" s="239">
        <f t="shared" si="47"/>
        <v>0</v>
      </c>
      <c r="I142" s="1335"/>
      <c r="J142" s="1335"/>
      <c r="K142" s="1336"/>
      <c r="L142" s="1322">
        <v>0.5</v>
      </c>
      <c r="M142" s="227">
        <f t="shared" si="48"/>
        <v>0</v>
      </c>
      <c r="N142" s="227">
        <f t="shared" si="49"/>
        <v>0</v>
      </c>
      <c r="O142" s="228">
        <f t="shared" si="50"/>
        <v>0</v>
      </c>
      <c r="P142" s="228">
        <f t="shared" si="51"/>
        <v>0</v>
      </c>
      <c r="Q142" s="1342">
        <v>0</v>
      </c>
    </row>
    <row r="143" spans="1:17" hidden="1" outlineLevel="1">
      <c r="A143" s="190" t="s">
        <v>815</v>
      </c>
      <c r="B143" s="1316" t="s">
        <v>437</v>
      </c>
      <c r="C143" s="1316" t="s">
        <v>592</v>
      </c>
      <c r="D143" s="1317" t="s">
        <v>433</v>
      </c>
      <c r="E143" s="1318">
        <v>1</v>
      </c>
      <c r="F143" s="1319" t="s">
        <v>868</v>
      </c>
      <c r="G143" s="1315">
        <v>1435</v>
      </c>
      <c r="H143" s="238">
        <f t="shared" ref="H143:H159" si="52">SUM(I143:K143)</f>
        <v>4.6799999999999999E-4</v>
      </c>
      <c r="I143" s="1333">
        <v>4.6799999999999999E-4</v>
      </c>
      <c r="J143" s="1333"/>
      <c r="K143" s="1334"/>
      <c r="L143" s="1318">
        <v>0.5</v>
      </c>
      <c r="M143" s="233">
        <f t="shared" ref="M143:M159" si="53">SUM(N143:P143)-Q143</f>
        <v>0.33578999999999998</v>
      </c>
      <c r="N143" s="233">
        <f t="shared" ref="N143:N159" si="54">E143*G143*I143*L143</f>
        <v>0.33578999999999998</v>
      </c>
      <c r="O143" s="234">
        <f t="shared" ref="O143:O159" si="55">E143*G143*J143*L143*10</f>
        <v>0</v>
      </c>
      <c r="P143" s="234">
        <f t="shared" ref="P143:P159" si="56">E143*G143*K143*L143*15</f>
        <v>0</v>
      </c>
      <c r="Q143" s="1341">
        <v>0</v>
      </c>
    </row>
    <row r="144" spans="1:17" hidden="1" outlineLevel="1">
      <c r="A144" s="190" t="s">
        <v>815</v>
      </c>
      <c r="B144" s="1316" t="s">
        <v>437</v>
      </c>
      <c r="C144" s="1316" t="s">
        <v>592</v>
      </c>
      <c r="D144" s="1317" t="s">
        <v>433</v>
      </c>
      <c r="E144" s="1318">
        <v>1</v>
      </c>
      <c r="F144" s="1319" t="s">
        <v>441</v>
      </c>
      <c r="G144" s="1315">
        <v>552.89</v>
      </c>
      <c r="H144" s="238">
        <f t="shared" si="52"/>
        <v>5.4600000000000004E-4</v>
      </c>
      <c r="I144" s="1333">
        <v>5.4600000000000004E-4</v>
      </c>
      <c r="J144" s="1333"/>
      <c r="K144" s="1334"/>
      <c r="L144" s="1318">
        <v>0.5</v>
      </c>
      <c r="M144" s="233">
        <f t="shared" si="53"/>
        <v>0.15093897000000001</v>
      </c>
      <c r="N144" s="233">
        <f t="shared" si="54"/>
        <v>0.15093897000000001</v>
      </c>
      <c r="O144" s="234">
        <f t="shared" si="55"/>
        <v>0</v>
      </c>
      <c r="P144" s="234">
        <f t="shared" si="56"/>
        <v>0</v>
      </c>
      <c r="Q144" s="1341">
        <v>0</v>
      </c>
    </row>
    <row r="145" spans="1:17" hidden="1" outlineLevel="1">
      <c r="A145" s="190" t="s">
        <v>815</v>
      </c>
      <c r="B145" s="1316" t="s">
        <v>437</v>
      </c>
      <c r="C145" s="1316" t="s">
        <v>592</v>
      </c>
      <c r="D145" s="1317" t="s">
        <v>433</v>
      </c>
      <c r="E145" s="1318">
        <v>1</v>
      </c>
      <c r="F145" s="1319" t="s">
        <v>443</v>
      </c>
      <c r="G145" s="1315">
        <v>2826</v>
      </c>
      <c r="H145" s="238">
        <f t="shared" si="52"/>
        <v>1.3300000000000001E-4</v>
      </c>
      <c r="I145" s="1333">
        <v>1.3300000000000001E-4</v>
      </c>
      <c r="J145" s="1333"/>
      <c r="K145" s="1334"/>
      <c r="L145" s="1318">
        <v>0.5</v>
      </c>
      <c r="M145" s="233">
        <f t="shared" si="53"/>
        <v>0.18792900000000001</v>
      </c>
      <c r="N145" s="233">
        <f t="shared" si="54"/>
        <v>0.18792900000000001</v>
      </c>
      <c r="O145" s="234">
        <f t="shared" si="55"/>
        <v>0</v>
      </c>
      <c r="P145" s="234">
        <f t="shared" si="56"/>
        <v>0</v>
      </c>
      <c r="Q145" s="1341">
        <v>0</v>
      </c>
    </row>
    <row r="146" spans="1:17" hidden="1" outlineLevel="1">
      <c r="A146" s="190" t="s">
        <v>815</v>
      </c>
      <c r="B146" s="1320" t="s">
        <v>437</v>
      </c>
      <c r="C146" s="1320" t="s">
        <v>592</v>
      </c>
      <c r="D146" s="1321" t="s">
        <v>433</v>
      </c>
      <c r="E146" s="1322">
        <v>1</v>
      </c>
      <c r="F146" s="1324" t="s">
        <v>444</v>
      </c>
      <c r="G146" s="1323">
        <v>12014</v>
      </c>
      <c r="H146" s="239">
        <f t="shared" si="52"/>
        <v>4.3999999999999999E-5</v>
      </c>
      <c r="I146" s="1335">
        <v>4.3999999999999999E-5</v>
      </c>
      <c r="J146" s="1335"/>
      <c r="K146" s="1336"/>
      <c r="L146" s="1322">
        <v>0.5</v>
      </c>
      <c r="M146" s="227">
        <f t="shared" si="53"/>
        <v>0.26430799999999999</v>
      </c>
      <c r="N146" s="227">
        <f t="shared" si="54"/>
        <v>0.26430799999999999</v>
      </c>
      <c r="O146" s="228">
        <f t="shared" si="55"/>
        <v>0</v>
      </c>
      <c r="P146" s="228">
        <f t="shared" si="56"/>
        <v>0</v>
      </c>
      <c r="Q146" s="1342">
        <v>0</v>
      </c>
    </row>
    <row r="147" spans="1:17" hidden="1" outlineLevel="1">
      <c r="A147" s="190" t="s">
        <v>815</v>
      </c>
      <c r="B147" s="1316" t="s">
        <v>438</v>
      </c>
      <c r="C147" s="1316" t="s">
        <v>593</v>
      </c>
      <c r="D147" s="1317" t="s">
        <v>433</v>
      </c>
      <c r="E147" s="1318">
        <v>1</v>
      </c>
      <c r="F147" s="1319" t="s">
        <v>868</v>
      </c>
      <c r="G147" s="1315">
        <v>1435</v>
      </c>
      <c r="H147" s="238">
        <f t="shared" si="52"/>
        <v>1.6823999999999999E-2</v>
      </c>
      <c r="I147" s="1333">
        <v>1.0515E-2</v>
      </c>
      <c r="J147" s="1333">
        <v>6.3090000000000004E-3</v>
      </c>
      <c r="K147" s="1334"/>
      <c r="L147" s="1318">
        <v>1</v>
      </c>
      <c r="M147" s="233">
        <f t="shared" si="53"/>
        <v>105.623175</v>
      </c>
      <c r="N147" s="233">
        <f t="shared" si="54"/>
        <v>15.089024999999999</v>
      </c>
      <c r="O147" s="234">
        <f t="shared" si="55"/>
        <v>90.534150000000011</v>
      </c>
      <c r="P147" s="234">
        <f t="shared" si="56"/>
        <v>0</v>
      </c>
      <c r="Q147" s="1341">
        <v>0</v>
      </c>
    </row>
    <row r="148" spans="1:17" hidden="1" outlineLevel="1">
      <c r="A148" s="190" t="s">
        <v>815</v>
      </c>
      <c r="B148" s="1316" t="s">
        <v>438</v>
      </c>
      <c r="C148" s="1316" t="s">
        <v>593</v>
      </c>
      <c r="D148" s="1317" t="s">
        <v>433</v>
      </c>
      <c r="E148" s="1318">
        <v>1</v>
      </c>
      <c r="F148" s="1319" t="s">
        <v>441</v>
      </c>
      <c r="G148" s="1315">
        <v>552.89</v>
      </c>
      <c r="H148" s="238">
        <f t="shared" si="52"/>
        <v>1.7524999999999999E-2</v>
      </c>
      <c r="I148" s="1333">
        <v>1.0515E-2</v>
      </c>
      <c r="J148" s="1333">
        <v>7.0099999999999997E-3</v>
      </c>
      <c r="K148" s="1334"/>
      <c r="L148" s="1318">
        <v>1</v>
      </c>
      <c r="M148" s="233">
        <f t="shared" si="53"/>
        <v>44.571227349999994</v>
      </c>
      <c r="N148" s="233">
        <f t="shared" si="54"/>
        <v>5.8136383499999997</v>
      </c>
      <c r="O148" s="234">
        <f t="shared" si="55"/>
        <v>38.757588999999996</v>
      </c>
      <c r="P148" s="234">
        <f t="shared" si="56"/>
        <v>0</v>
      </c>
      <c r="Q148" s="1341">
        <v>0</v>
      </c>
    </row>
    <row r="149" spans="1:17" hidden="1" outlineLevel="1">
      <c r="A149" s="190" t="s">
        <v>815</v>
      </c>
      <c r="B149" s="1316" t="s">
        <v>438</v>
      </c>
      <c r="C149" s="1316" t="s">
        <v>593</v>
      </c>
      <c r="D149" s="1317" t="s">
        <v>433</v>
      </c>
      <c r="E149" s="1318">
        <v>1</v>
      </c>
      <c r="F149" s="1319" t="s">
        <v>442</v>
      </c>
      <c r="G149" s="1315">
        <v>4582</v>
      </c>
      <c r="H149" s="238">
        <f t="shared" si="52"/>
        <v>9.1100000000000003E-4</v>
      </c>
      <c r="I149" s="1333">
        <v>7.0100000000000002E-4</v>
      </c>
      <c r="J149" s="1333">
        <v>2.1000000000000001E-4</v>
      </c>
      <c r="K149" s="1334"/>
      <c r="L149" s="1318">
        <v>1</v>
      </c>
      <c r="M149" s="233">
        <f t="shared" si="53"/>
        <v>12.834182000000002</v>
      </c>
      <c r="N149" s="233">
        <f t="shared" si="54"/>
        <v>3.2119819999999999</v>
      </c>
      <c r="O149" s="234">
        <f t="shared" si="55"/>
        <v>9.6222000000000012</v>
      </c>
      <c r="P149" s="234">
        <f t="shared" si="56"/>
        <v>0</v>
      </c>
      <c r="Q149" s="1341">
        <v>0</v>
      </c>
    </row>
    <row r="150" spans="1:17" hidden="1" outlineLevel="1">
      <c r="A150" s="190" t="s">
        <v>815</v>
      </c>
      <c r="B150" s="1316" t="s">
        <v>438</v>
      </c>
      <c r="C150" s="1316" t="s">
        <v>593</v>
      </c>
      <c r="D150" s="1317" t="s">
        <v>433</v>
      </c>
      <c r="E150" s="1318">
        <v>1</v>
      </c>
      <c r="F150" s="1319" t="s">
        <v>443</v>
      </c>
      <c r="G150" s="1315">
        <v>2826</v>
      </c>
      <c r="H150" s="238">
        <f t="shared" si="52"/>
        <v>1.2618000000000001E-2</v>
      </c>
      <c r="I150" s="1333">
        <v>1.0515E-2</v>
      </c>
      <c r="J150" s="1333">
        <v>2.1029999999999998E-3</v>
      </c>
      <c r="K150" s="1334"/>
      <c r="L150" s="1318">
        <v>1</v>
      </c>
      <c r="M150" s="233">
        <f t="shared" si="53"/>
        <v>89.146169999999998</v>
      </c>
      <c r="N150" s="233">
        <f t="shared" si="54"/>
        <v>29.715389999999999</v>
      </c>
      <c r="O150" s="234">
        <f t="shared" si="55"/>
        <v>59.430779999999999</v>
      </c>
      <c r="P150" s="234">
        <f t="shared" si="56"/>
        <v>0</v>
      </c>
      <c r="Q150" s="1341">
        <v>0</v>
      </c>
    </row>
    <row r="151" spans="1:17" hidden="1" outlineLevel="1">
      <c r="A151" s="190" t="s">
        <v>815</v>
      </c>
      <c r="B151" s="1316" t="s">
        <v>438</v>
      </c>
      <c r="C151" s="1316" t="s">
        <v>593</v>
      </c>
      <c r="D151" s="1317" t="s">
        <v>433</v>
      </c>
      <c r="E151" s="1318">
        <v>1</v>
      </c>
      <c r="F151" s="1319" t="s">
        <v>444</v>
      </c>
      <c r="G151" s="1315">
        <v>12014</v>
      </c>
      <c r="H151" s="238">
        <f t="shared" si="52"/>
        <v>1.9619999999999998E-3</v>
      </c>
      <c r="I151" s="1333">
        <v>3.5E-4</v>
      </c>
      <c r="J151" s="1333">
        <v>1.6119999999999999E-3</v>
      </c>
      <c r="K151" s="1334"/>
      <c r="L151" s="1318">
        <v>1</v>
      </c>
      <c r="M151" s="233">
        <f t="shared" si="53"/>
        <v>197.87058000000002</v>
      </c>
      <c r="N151" s="233">
        <f t="shared" si="54"/>
        <v>4.2049000000000003</v>
      </c>
      <c r="O151" s="234">
        <f t="shared" si="55"/>
        <v>193.66568000000001</v>
      </c>
      <c r="P151" s="234">
        <f t="shared" si="56"/>
        <v>0</v>
      </c>
      <c r="Q151" s="1341">
        <v>0</v>
      </c>
    </row>
    <row r="152" spans="1:17" hidden="1" outlineLevel="1">
      <c r="A152" s="190" t="s">
        <v>815</v>
      </c>
      <c r="B152" s="1320" t="s">
        <v>438</v>
      </c>
      <c r="C152" s="1320" t="s">
        <v>593</v>
      </c>
      <c r="D152" s="1321" t="s">
        <v>433</v>
      </c>
      <c r="E152" s="1322">
        <v>1</v>
      </c>
      <c r="F152" s="1324" t="s">
        <v>445</v>
      </c>
      <c r="G152" s="1323">
        <v>24326</v>
      </c>
      <c r="H152" s="239">
        <f t="shared" si="52"/>
        <v>6.7999999999999999E-5</v>
      </c>
      <c r="I152" s="1335">
        <v>6.7999999999999999E-5</v>
      </c>
      <c r="J152" s="1335"/>
      <c r="K152" s="1336"/>
      <c r="L152" s="1322">
        <v>1</v>
      </c>
      <c r="M152" s="227">
        <f t="shared" si="53"/>
        <v>1.6541680000000001</v>
      </c>
      <c r="N152" s="227">
        <f t="shared" si="54"/>
        <v>1.6541680000000001</v>
      </c>
      <c r="O152" s="228">
        <f t="shared" si="55"/>
        <v>0</v>
      </c>
      <c r="P152" s="228">
        <f t="shared" si="56"/>
        <v>0</v>
      </c>
      <c r="Q152" s="1342">
        <v>0</v>
      </c>
    </row>
    <row r="153" spans="1:17" hidden="1" outlineLevel="1">
      <c r="A153" s="190" t="s">
        <v>815</v>
      </c>
      <c r="B153" s="1316" t="s">
        <v>418</v>
      </c>
      <c r="C153" s="1316" t="s">
        <v>439</v>
      </c>
      <c r="D153" s="1317" t="s">
        <v>433</v>
      </c>
      <c r="E153" s="1318">
        <v>1.5</v>
      </c>
      <c r="F153" s="1319" t="s">
        <v>868</v>
      </c>
      <c r="G153" s="1315">
        <v>1435</v>
      </c>
      <c r="H153" s="238">
        <f t="shared" si="52"/>
        <v>3.2372999999999999E-2</v>
      </c>
      <c r="I153" s="1333">
        <v>3.2372999999999999E-2</v>
      </c>
      <c r="J153" s="1333"/>
      <c r="K153" s="1334"/>
      <c r="L153" s="1318">
        <v>0.5</v>
      </c>
      <c r="M153" s="233">
        <f t="shared" si="53"/>
        <v>34.841441249999995</v>
      </c>
      <c r="N153" s="233">
        <f t="shared" si="54"/>
        <v>34.841441249999995</v>
      </c>
      <c r="O153" s="234">
        <f t="shared" si="55"/>
        <v>0</v>
      </c>
      <c r="P153" s="234">
        <f t="shared" si="56"/>
        <v>0</v>
      </c>
      <c r="Q153" s="1341">
        <v>0</v>
      </c>
    </row>
    <row r="154" spans="1:17" hidden="1" outlineLevel="1">
      <c r="A154" s="190" t="s">
        <v>815</v>
      </c>
      <c r="B154" s="1316" t="s">
        <v>418</v>
      </c>
      <c r="C154" s="1316" t="s">
        <v>439</v>
      </c>
      <c r="D154" s="1317" t="s">
        <v>433</v>
      </c>
      <c r="E154" s="1318">
        <v>1.5</v>
      </c>
      <c r="F154" s="1319" t="s">
        <v>441</v>
      </c>
      <c r="G154" s="1315">
        <v>552.89</v>
      </c>
      <c r="H154" s="238">
        <f t="shared" si="52"/>
        <v>9.3521999999999994E-2</v>
      </c>
      <c r="I154" s="1333">
        <v>9.3521999999999994E-2</v>
      </c>
      <c r="J154" s="1333"/>
      <c r="K154" s="1334"/>
      <c r="L154" s="1318">
        <v>0.5</v>
      </c>
      <c r="M154" s="233">
        <f t="shared" si="53"/>
        <v>38.780533935000001</v>
      </c>
      <c r="N154" s="233">
        <f t="shared" si="54"/>
        <v>38.780533935000001</v>
      </c>
      <c r="O154" s="234">
        <f t="shared" si="55"/>
        <v>0</v>
      </c>
      <c r="P154" s="234">
        <f t="shared" si="56"/>
        <v>0</v>
      </c>
      <c r="Q154" s="1341">
        <v>0</v>
      </c>
    </row>
    <row r="155" spans="1:17" hidden="1" outlineLevel="1">
      <c r="A155" s="190" t="s">
        <v>815</v>
      </c>
      <c r="B155" s="1316" t="s">
        <v>418</v>
      </c>
      <c r="C155" s="1316" t="s">
        <v>439</v>
      </c>
      <c r="D155" s="1317" t="s">
        <v>433</v>
      </c>
      <c r="E155" s="1318">
        <v>1.5</v>
      </c>
      <c r="F155" s="1319" t="s">
        <v>442</v>
      </c>
      <c r="G155" s="1315">
        <v>4582</v>
      </c>
      <c r="H155" s="238">
        <f t="shared" si="52"/>
        <v>0</v>
      </c>
      <c r="I155" s="1333"/>
      <c r="J155" s="1333"/>
      <c r="K155" s="1334"/>
      <c r="L155" s="1318">
        <v>0.5</v>
      </c>
      <c r="M155" s="233">
        <f t="shared" si="53"/>
        <v>0</v>
      </c>
      <c r="N155" s="233">
        <f t="shared" si="54"/>
        <v>0</v>
      </c>
      <c r="O155" s="234">
        <f t="shared" si="55"/>
        <v>0</v>
      </c>
      <c r="P155" s="234">
        <f t="shared" si="56"/>
        <v>0</v>
      </c>
      <c r="Q155" s="1341">
        <v>0</v>
      </c>
    </row>
    <row r="156" spans="1:17" hidden="1" outlineLevel="1">
      <c r="A156" s="190" t="s">
        <v>815</v>
      </c>
      <c r="B156" s="1316" t="s">
        <v>418</v>
      </c>
      <c r="C156" s="1316" t="s">
        <v>439</v>
      </c>
      <c r="D156" s="1317" t="s">
        <v>433</v>
      </c>
      <c r="E156" s="1318">
        <v>1.5</v>
      </c>
      <c r="F156" s="1319" t="s">
        <v>443</v>
      </c>
      <c r="G156" s="1315">
        <v>2826</v>
      </c>
      <c r="H156" s="238">
        <f t="shared" si="52"/>
        <v>1.4748000000000001E-2</v>
      </c>
      <c r="I156" s="1333">
        <v>1.4748000000000001E-2</v>
      </c>
      <c r="J156" s="1333"/>
      <c r="K156" s="1334"/>
      <c r="L156" s="1318">
        <v>0.5</v>
      </c>
      <c r="M156" s="233">
        <f t="shared" si="53"/>
        <v>31.258386000000002</v>
      </c>
      <c r="N156" s="233">
        <f t="shared" si="54"/>
        <v>31.258386000000002</v>
      </c>
      <c r="O156" s="234">
        <f t="shared" si="55"/>
        <v>0</v>
      </c>
      <c r="P156" s="234">
        <f t="shared" si="56"/>
        <v>0</v>
      </c>
      <c r="Q156" s="1341">
        <v>0</v>
      </c>
    </row>
    <row r="157" spans="1:17" hidden="1" outlineLevel="1">
      <c r="A157" s="190" t="s">
        <v>815</v>
      </c>
      <c r="B157" s="1316" t="s">
        <v>418</v>
      </c>
      <c r="C157" s="1316" t="s">
        <v>439</v>
      </c>
      <c r="D157" s="1317" t="s">
        <v>433</v>
      </c>
      <c r="E157" s="1318">
        <v>1.5</v>
      </c>
      <c r="F157" s="1319" t="s">
        <v>444</v>
      </c>
      <c r="G157" s="1315">
        <v>12014</v>
      </c>
      <c r="H157" s="238">
        <f t="shared" si="52"/>
        <v>1.547E-3</v>
      </c>
      <c r="I157" s="1333">
        <v>1.547E-3</v>
      </c>
      <c r="J157" s="1333"/>
      <c r="K157" s="1334"/>
      <c r="L157" s="1318">
        <v>0.5</v>
      </c>
      <c r="M157" s="233">
        <f t="shared" si="53"/>
        <v>13.9392435</v>
      </c>
      <c r="N157" s="233">
        <f t="shared" si="54"/>
        <v>13.9392435</v>
      </c>
      <c r="O157" s="234">
        <f t="shared" si="55"/>
        <v>0</v>
      </c>
      <c r="P157" s="234">
        <f t="shared" si="56"/>
        <v>0</v>
      </c>
      <c r="Q157" s="1341">
        <v>0</v>
      </c>
    </row>
    <row r="158" spans="1:17" hidden="1" outlineLevel="1">
      <c r="A158" s="190" t="s">
        <v>815</v>
      </c>
      <c r="B158" s="1320" t="s">
        <v>418</v>
      </c>
      <c r="C158" s="1320" t="s">
        <v>439</v>
      </c>
      <c r="D158" s="1321" t="s">
        <v>433</v>
      </c>
      <c r="E158" s="1322">
        <v>1.5</v>
      </c>
      <c r="F158" s="1324" t="s">
        <v>445</v>
      </c>
      <c r="G158" s="1323">
        <v>24326</v>
      </c>
      <c r="H158" s="239">
        <f t="shared" si="52"/>
        <v>0</v>
      </c>
      <c r="I158" s="1335"/>
      <c r="J158" s="1335"/>
      <c r="K158" s="1336"/>
      <c r="L158" s="1322">
        <v>0.5</v>
      </c>
      <c r="M158" s="227">
        <f t="shared" si="53"/>
        <v>0</v>
      </c>
      <c r="N158" s="227">
        <f t="shared" si="54"/>
        <v>0</v>
      </c>
      <c r="O158" s="228">
        <f t="shared" si="55"/>
        <v>0</v>
      </c>
      <c r="P158" s="228">
        <f t="shared" si="56"/>
        <v>0</v>
      </c>
      <c r="Q158" s="1342">
        <v>0</v>
      </c>
    </row>
    <row r="159" spans="1:17" hidden="1" outlineLevel="1">
      <c r="A159" s="190" t="s">
        <v>815</v>
      </c>
      <c r="B159" s="1316" t="s">
        <v>411</v>
      </c>
      <c r="C159" s="1316" t="s">
        <v>440</v>
      </c>
      <c r="D159" s="1317" t="s">
        <v>433</v>
      </c>
      <c r="E159" s="1318">
        <v>1.5</v>
      </c>
      <c r="F159" s="1319" t="s">
        <v>868</v>
      </c>
      <c r="G159" s="1315">
        <v>1435</v>
      </c>
      <c r="H159" s="238">
        <f t="shared" si="52"/>
        <v>5.5459999999999997E-3</v>
      </c>
      <c r="I159" s="1333">
        <v>5.5459999999999997E-3</v>
      </c>
      <c r="J159" s="1333"/>
      <c r="K159" s="1334"/>
      <c r="L159" s="1318">
        <v>0.5</v>
      </c>
      <c r="M159" s="233">
        <f t="shared" si="53"/>
        <v>5.9688824999999994</v>
      </c>
      <c r="N159" s="233">
        <f t="shared" si="54"/>
        <v>5.9688824999999994</v>
      </c>
      <c r="O159" s="234">
        <f t="shared" si="55"/>
        <v>0</v>
      </c>
      <c r="P159" s="234">
        <f t="shared" si="56"/>
        <v>0</v>
      </c>
      <c r="Q159" s="1341">
        <v>0</v>
      </c>
    </row>
    <row r="160" spans="1:17" hidden="1" outlineLevel="1">
      <c r="A160" s="190" t="s">
        <v>815</v>
      </c>
      <c r="B160" s="1316" t="s">
        <v>411</v>
      </c>
      <c r="C160" s="1316" t="s">
        <v>440</v>
      </c>
      <c r="D160" s="1317" t="s">
        <v>433</v>
      </c>
      <c r="E160" s="1318">
        <v>1.5</v>
      </c>
      <c r="F160" s="1319" t="s">
        <v>441</v>
      </c>
      <c r="G160" s="1315">
        <v>552.89</v>
      </c>
      <c r="H160" s="238">
        <f t="shared" si="39"/>
        <v>5.9959999999999996E-3</v>
      </c>
      <c r="I160" s="1333">
        <v>5.9959999999999996E-3</v>
      </c>
      <c r="J160" s="1333"/>
      <c r="K160" s="1334"/>
      <c r="L160" s="1318">
        <v>0.5</v>
      </c>
      <c r="M160" s="233">
        <f t="shared" si="40"/>
        <v>2.4863463299999999</v>
      </c>
      <c r="N160" s="233">
        <f t="shared" si="41"/>
        <v>2.4863463299999999</v>
      </c>
      <c r="O160" s="234">
        <f t="shared" si="42"/>
        <v>0</v>
      </c>
      <c r="P160" s="234">
        <f t="shared" si="43"/>
        <v>0</v>
      </c>
      <c r="Q160" s="1341">
        <v>0</v>
      </c>
    </row>
    <row r="161" spans="1:18" hidden="1" outlineLevel="1">
      <c r="A161" s="190" t="s">
        <v>815</v>
      </c>
      <c r="B161" s="1316" t="s">
        <v>411</v>
      </c>
      <c r="C161" s="1316" t="s">
        <v>440</v>
      </c>
      <c r="D161" s="1317" t="s">
        <v>433</v>
      </c>
      <c r="E161" s="1318">
        <v>1.5</v>
      </c>
      <c r="F161" s="1319" t="s">
        <v>442</v>
      </c>
      <c r="G161" s="1315">
        <v>4582</v>
      </c>
      <c r="H161" s="238">
        <f t="shared" si="39"/>
        <v>0</v>
      </c>
      <c r="I161" s="1333"/>
      <c r="J161" s="1333"/>
      <c r="K161" s="1334"/>
      <c r="L161" s="1318">
        <v>0.5</v>
      </c>
      <c r="M161" s="233">
        <f t="shared" si="40"/>
        <v>0</v>
      </c>
      <c r="N161" s="233">
        <f t="shared" si="41"/>
        <v>0</v>
      </c>
      <c r="O161" s="234">
        <f t="shared" si="42"/>
        <v>0</v>
      </c>
      <c r="P161" s="234">
        <f t="shared" si="43"/>
        <v>0</v>
      </c>
      <c r="Q161" s="1341">
        <v>0</v>
      </c>
    </row>
    <row r="162" spans="1:18" hidden="1" outlineLevel="1">
      <c r="A162" s="190" t="s">
        <v>815</v>
      </c>
      <c r="B162" s="1316" t="s">
        <v>411</v>
      </c>
      <c r="C162" s="1316" t="s">
        <v>440</v>
      </c>
      <c r="D162" s="1317" t="s">
        <v>433</v>
      </c>
      <c r="E162" s="1318">
        <v>1.5</v>
      </c>
      <c r="F162" s="1319" t="s">
        <v>443</v>
      </c>
      <c r="G162" s="1315">
        <v>2826</v>
      </c>
      <c r="H162" s="238">
        <f t="shared" si="39"/>
        <v>5.0965999999999997E-2</v>
      </c>
      <c r="I162" s="1333">
        <v>5.0965999999999997E-2</v>
      </c>
      <c r="J162" s="1333"/>
      <c r="K162" s="1334"/>
      <c r="L162" s="1318">
        <v>0.5</v>
      </c>
      <c r="M162" s="233">
        <f t="shared" si="40"/>
        <v>108.022437</v>
      </c>
      <c r="N162" s="233">
        <f t="shared" si="41"/>
        <v>108.022437</v>
      </c>
      <c r="O162" s="234">
        <f t="shared" si="42"/>
        <v>0</v>
      </c>
      <c r="P162" s="234">
        <f t="shared" si="43"/>
        <v>0</v>
      </c>
      <c r="Q162" s="1341">
        <v>0</v>
      </c>
    </row>
    <row r="163" spans="1:18" hidden="1" outlineLevel="1">
      <c r="A163" s="190" t="s">
        <v>815</v>
      </c>
      <c r="B163" s="1320" t="s">
        <v>411</v>
      </c>
      <c r="C163" s="1320" t="s">
        <v>440</v>
      </c>
      <c r="D163" s="1321" t="s">
        <v>433</v>
      </c>
      <c r="E163" s="1322">
        <v>1.5</v>
      </c>
      <c r="F163" s="1324" t="s">
        <v>444</v>
      </c>
      <c r="G163" s="1323">
        <v>12014</v>
      </c>
      <c r="H163" s="239">
        <f t="shared" si="39"/>
        <v>5.5459999999999997E-3</v>
      </c>
      <c r="I163" s="1335">
        <v>5.5459999999999997E-3</v>
      </c>
      <c r="J163" s="1335"/>
      <c r="K163" s="1336"/>
      <c r="L163" s="1322">
        <v>0.5</v>
      </c>
      <c r="M163" s="227">
        <f t="shared" si="40"/>
        <v>49.972232999999996</v>
      </c>
      <c r="N163" s="227">
        <f t="shared" si="41"/>
        <v>49.972232999999996</v>
      </c>
      <c r="O163" s="228">
        <f t="shared" si="42"/>
        <v>0</v>
      </c>
      <c r="P163" s="228">
        <f t="shared" si="43"/>
        <v>0</v>
      </c>
      <c r="Q163" s="1342">
        <v>0</v>
      </c>
    </row>
    <row r="164" spans="1:18" hidden="1" outlineLevel="1">
      <c r="A164" s="190" t="s">
        <v>815</v>
      </c>
      <c r="B164" s="1316" t="s">
        <v>409</v>
      </c>
      <c r="C164" s="1316" t="s">
        <v>594</v>
      </c>
      <c r="D164" s="1317" t="s">
        <v>433</v>
      </c>
      <c r="E164" s="1318">
        <v>1</v>
      </c>
      <c r="F164" s="1319" t="s">
        <v>868</v>
      </c>
      <c r="G164" s="1315">
        <v>1435</v>
      </c>
      <c r="H164" s="238">
        <f t="shared" si="20"/>
        <v>4.6779999999999999E-3</v>
      </c>
      <c r="I164" s="1333">
        <v>4.6779999999999999E-3</v>
      </c>
      <c r="J164" s="1333"/>
      <c r="K164" s="1334"/>
      <c r="L164" s="1318">
        <v>0.5</v>
      </c>
      <c r="M164" s="233">
        <f t="shared" si="18"/>
        <v>3.356465</v>
      </c>
      <c r="N164" s="233">
        <f t="shared" si="0"/>
        <v>3.356465</v>
      </c>
      <c r="O164" s="234">
        <f t="shared" si="1"/>
        <v>0</v>
      </c>
      <c r="P164" s="234">
        <f t="shared" si="19"/>
        <v>0</v>
      </c>
      <c r="Q164" s="1341">
        <v>0</v>
      </c>
    </row>
    <row r="165" spans="1:18" hidden="1" outlineLevel="1">
      <c r="A165" s="190" t="s">
        <v>815</v>
      </c>
      <c r="B165" s="1316" t="s">
        <v>409</v>
      </c>
      <c r="C165" s="1316" t="s">
        <v>594</v>
      </c>
      <c r="D165" s="1317" t="s">
        <v>433</v>
      </c>
      <c r="E165" s="1318">
        <v>1</v>
      </c>
      <c r="F165" s="1319" t="s">
        <v>441</v>
      </c>
      <c r="G165" s="1315">
        <v>552.89</v>
      </c>
      <c r="H165" s="238">
        <f t="shared" si="20"/>
        <v>8.2559999999999995E-3</v>
      </c>
      <c r="I165" s="1333">
        <v>8.2559999999999995E-3</v>
      </c>
      <c r="J165" s="1333"/>
      <c r="K165" s="1334"/>
      <c r="L165" s="1318">
        <v>0.5</v>
      </c>
      <c r="M165" s="233">
        <f t="shared" si="18"/>
        <v>2.28232992</v>
      </c>
      <c r="N165" s="233">
        <f t="shared" si="0"/>
        <v>2.28232992</v>
      </c>
      <c r="O165" s="234">
        <f t="shared" si="1"/>
        <v>0</v>
      </c>
      <c r="P165" s="234">
        <f t="shared" si="19"/>
        <v>0</v>
      </c>
      <c r="Q165" s="1341">
        <v>0</v>
      </c>
    </row>
    <row r="166" spans="1:18" hidden="1" outlineLevel="1">
      <c r="A166" s="190" t="s">
        <v>815</v>
      </c>
      <c r="B166" s="1316" t="s">
        <v>409</v>
      </c>
      <c r="C166" s="1316" t="s">
        <v>594</v>
      </c>
      <c r="D166" s="1317" t="s">
        <v>433</v>
      </c>
      <c r="E166" s="1318">
        <v>1</v>
      </c>
      <c r="F166" s="1319" t="s">
        <v>442</v>
      </c>
      <c r="G166" s="1315">
        <v>4582</v>
      </c>
      <c r="H166" s="238">
        <f t="shared" si="20"/>
        <v>0</v>
      </c>
      <c r="I166" s="1333"/>
      <c r="J166" s="1333"/>
      <c r="K166" s="1334"/>
      <c r="L166" s="1318">
        <v>0.5</v>
      </c>
      <c r="M166" s="233">
        <f t="shared" si="18"/>
        <v>0</v>
      </c>
      <c r="N166" s="233">
        <f t="shared" si="0"/>
        <v>0</v>
      </c>
      <c r="O166" s="234">
        <f t="shared" si="1"/>
        <v>0</v>
      </c>
      <c r="P166" s="234">
        <f t="shared" si="19"/>
        <v>0</v>
      </c>
      <c r="Q166" s="1341">
        <v>0</v>
      </c>
    </row>
    <row r="167" spans="1:18" hidden="1" outlineLevel="1">
      <c r="A167" s="190" t="s">
        <v>815</v>
      </c>
      <c r="B167" s="1316" t="s">
        <v>409</v>
      </c>
      <c r="C167" s="1316" t="s">
        <v>594</v>
      </c>
      <c r="D167" s="1317" t="s">
        <v>433</v>
      </c>
      <c r="E167" s="1318">
        <v>1</v>
      </c>
      <c r="F167" s="1317" t="s">
        <v>443</v>
      </c>
      <c r="G167" s="1315">
        <v>2826</v>
      </c>
      <c r="H167" s="238">
        <f t="shared" si="20"/>
        <v>2.5455999999999999E-2</v>
      </c>
      <c r="I167" s="1333">
        <v>2.5455999999999999E-2</v>
      </c>
      <c r="J167" s="1333"/>
      <c r="K167" s="1334"/>
      <c r="L167" s="1318">
        <v>0.5</v>
      </c>
      <c r="M167" s="233">
        <f t="shared" si="18"/>
        <v>35.969327999999997</v>
      </c>
      <c r="N167" s="233">
        <f t="shared" si="0"/>
        <v>35.969327999999997</v>
      </c>
      <c r="O167" s="234">
        <f t="shared" si="1"/>
        <v>0</v>
      </c>
      <c r="P167" s="234">
        <f t="shared" si="19"/>
        <v>0</v>
      </c>
      <c r="Q167" s="1341">
        <v>0</v>
      </c>
    </row>
    <row r="168" spans="1:18" ht="13.8" hidden="1" outlineLevel="1" thickBot="1">
      <c r="A168" s="191" t="s">
        <v>815</v>
      </c>
      <c r="B168" s="1320" t="s">
        <v>409</v>
      </c>
      <c r="C168" s="1320" t="s">
        <v>594</v>
      </c>
      <c r="D168" s="1321" t="s">
        <v>433</v>
      </c>
      <c r="E168" s="1322">
        <v>1</v>
      </c>
      <c r="F168" s="1324" t="s">
        <v>444</v>
      </c>
      <c r="G168" s="1323">
        <v>12014</v>
      </c>
      <c r="H168" s="239">
        <f t="shared" si="20"/>
        <v>3.6499999999999998E-4</v>
      </c>
      <c r="I168" s="1335">
        <v>3.6499999999999998E-4</v>
      </c>
      <c r="J168" s="1335"/>
      <c r="K168" s="1336"/>
      <c r="L168" s="1322">
        <v>0.5</v>
      </c>
      <c r="M168" s="233">
        <f t="shared" si="18"/>
        <v>2.192555</v>
      </c>
      <c r="N168" s="227">
        <f t="shared" si="0"/>
        <v>2.192555</v>
      </c>
      <c r="O168" s="228">
        <f t="shared" si="1"/>
        <v>0</v>
      </c>
      <c r="P168" s="228">
        <f t="shared" si="19"/>
        <v>0</v>
      </c>
      <c r="Q168" s="1342">
        <v>0</v>
      </c>
      <c r="R168" s="512">
        <f>SUM(M129:M168)</f>
        <v>3116.286797755</v>
      </c>
    </row>
    <row r="169" spans="1:18" ht="13.8" collapsed="1" thickBot="1">
      <c r="A169" s="192" t="s">
        <v>1305</v>
      </c>
      <c r="B169" s="193"/>
      <c r="C169" s="193"/>
      <c r="D169" s="193"/>
      <c r="E169" s="194"/>
      <c r="F169" s="195"/>
      <c r="G169" s="194"/>
      <c r="H169" s="240">
        <f>SUM(H7:H168)</f>
        <v>16382.515869999994</v>
      </c>
      <c r="I169" s="194"/>
      <c r="J169" s="194"/>
      <c r="K169" s="194"/>
      <c r="L169" s="195"/>
      <c r="M169" s="232">
        <f>SUM(M7:M168)</f>
        <v>18036.443891195002</v>
      </c>
      <c r="N169" s="236">
        <f>SUM(N7:N168)</f>
        <v>6210.6838204549967</v>
      </c>
      <c r="O169" s="236">
        <f>SUM(O7:O168)</f>
        <v>11825.760070740002</v>
      </c>
      <c r="P169" s="236">
        <f>SUM(P7:P168)</f>
        <v>0</v>
      </c>
      <c r="Q169" s="236">
        <f>SUM(Q7:Q168)</f>
        <v>0</v>
      </c>
    </row>
    <row r="170" spans="1:18">
      <c r="A170" s="197"/>
      <c r="B170" s="198"/>
      <c r="C170" s="198"/>
      <c r="D170" s="198"/>
      <c r="E170" s="199"/>
      <c r="F170" s="200"/>
      <c r="G170" s="199"/>
      <c r="H170" s="199"/>
      <c r="I170" s="199"/>
      <c r="J170" s="1766" t="s">
        <v>1186</v>
      </c>
      <c r="K170" s="1766"/>
      <c r="L170" s="1766"/>
      <c r="M170" s="1766"/>
      <c r="N170" s="514">
        <f>'2. Kasumiaruanne'!D33</f>
        <v>6210.6999999999989</v>
      </c>
      <c r="O170" s="514">
        <f>'2. Kasumiaruanne'!F33</f>
        <v>11825.76</v>
      </c>
      <c r="P170" s="204"/>
      <c r="Q170" s="204"/>
    </row>
    <row r="171" spans="1:18">
      <c r="A171" s="197"/>
      <c r="B171" s="198"/>
      <c r="C171" s="198"/>
      <c r="D171" s="198"/>
      <c r="E171" s="199"/>
      <c r="F171" s="200"/>
      <c r="G171" s="199"/>
      <c r="H171" s="199"/>
      <c r="I171" s="199"/>
      <c r="J171" s="199"/>
      <c r="K171" s="199"/>
      <c r="L171" s="200"/>
      <c r="M171" s="516" t="s">
        <v>369</v>
      </c>
      <c r="N171" s="517">
        <f>N169-N170</f>
        <v>-1.6179545002160012E-2</v>
      </c>
      <c r="O171" s="517">
        <f>O169-O170</f>
        <v>7.074000131979119E-5</v>
      </c>
      <c r="P171" s="204"/>
      <c r="Q171" s="204"/>
    </row>
    <row r="172" spans="1:18" ht="13.8" thickBot="1">
      <c r="A172" s="15" t="s">
        <v>809</v>
      </c>
      <c r="B172" s="206"/>
      <c r="C172" s="206"/>
      <c r="D172" s="206"/>
      <c r="E172" s="207"/>
      <c r="F172" s="208"/>
      <c r="G172" s="207"/>
      <c r="H172" s="207"/>
      <c r="I172" s="209"/>
      <c r="J172" s="208"/>
      <c r="K172" s="208"/>
      <c r="L172" s="208"/>
      <c r="M172" s="210"/>
      <c r="N172" s="210"/>
      <c r="O172" s="210"/>
      <c r="P172" s="208"/>
      <c r="Q172" s="208"/>
    </row>
    <row r="173" spans="1:18" hidden="1" outlineLevel="1">
      <c r="A173" s="775" t="s">
        <v>816</v>
      </c>
      <c r="B173" s="1343" t="s">
        <v>408</v>
      </c>
      <c r="C173" s="1330">
        <v>841</v>
      </c>
      <c r="D173" s="1309" t="s">
        <v>427</v>
      </c>
      <c r="E173" s="1344" t="s">
        <v>349</v>
      </c>
      <c r="F173" s="1309" t="s">
        <v>429</v>
      </c>
      <c r="G173" s="1345">
        <v>9.3490000000000004E-2</v>
      </c>
      <c r="H173" s="776">
        <f>SUM(I173:K173)</f>
        <v>239</v>
      </c>
      <c r="I173" s="1353">
        <v>239</v>
      </c>
      <c r="J173" s="1353"/>
      <c r="K173" s="1353"/>
      <c r="L173" s="1344" t="s">
        <v>349</v>
      </c>
      <c r="M173" s="772">
        <f>SUM(N173:P173)</f>
        <v>22.344110000000001</v>
      </c>
      <c r="N173" s="773">
        <f>G173*I173</f>
        <v>22.344110000000001</v>
      </c>
      <c r="O173" s="773">
        <f>G173*J173*5</f>
        <v>0</v>
      </c>
      <c r="P173" s="773">
        <f>G173*K173*5</f>
        <v>0</v>
      </c>
      <c r="Q173" s="777"/>
      <c r="R173" s="774"/>
    </row>
    <row r="174" spans="1:18" hidden="1" outlineLevel="1">
      <c r="A174" s="211" t="s">
        <v>816</v>
      </c>
      <c r="B174" s="1346" t="s">
        <v>409</v>
      </c>
      <c r="C174" s="1332">
        <v>21717</v>
      </c>
      <c r="D174" s="1313" t="s">
        <v>427</v>
      </c>
      <c r="E174" s="1347" t="s">
        <v>349</v>
      </c>
      <c r="F174" s="1313" t="s">
        <v>429</v>
      </c>
      <c r="G174" s="1348">
        <v>9.3490000000000004E-2</v>
      </c>
      <c r="H174" s="222">
        <f t="shared" ref="H174:H261" si="57">SUM(I174:K174)</f>
        <v>926</v>
      </c>
      <c r="I174" s="1354">
        <v>926</v>
      </c>
      <c r="J174" s="1354"/>
      <c r="K174" s="1354"/>
      <c r="L174" s="1347" t="s">
        <v>349</v>
      </c>
      <c r="M174" s="223">
        <f t="shared" ref="M174:M200" si="58">SUM(N174:P174)</f>
        <v>86.571740000000005</v>
      </c>
      <c r="N174" s="224">
        <f t="shared" ref="N174:N261" si="59">G174*I174</f>
        <v>86.571740000000005</v>
      </c>
      <c r="O174" s="224">
        <f t="shared" ref="O174:O261" si="60">G174*J174*5</f>
        <v>0</v>
      </c>
      <c r="P174" s="224">
        <f t="shared" ref="P174:P261" si="61">G174*K174*5</f>
        <v>0</v>
      </c>
      <c r="Q174" s="208"/>
    </row>
    <row r="175" spans="1:18" hidden="1" outlineLevel="1">
      <c r="A175" s="211" t="s">
        <v>816</v>
      </c>
      <c r="B175" s="1346" t="s">
        <v>410</v>
      </c>
      <c r="C175" s="1332">
        <v>749</v>
      </c>
      <c r="D175" s="1313" t="s">
        <v>427</v>
      </c>
      <c r="E175" s="1347" t="s">
        <v>349</v>
      </c>
      <c r="F175" s="1313" t="s">
        <v>430</v>
      </c>
      <c r="G175" s="1349">
        <v>9.9339999999999998E-2</v>
      </c>
      <c r="H175" s="222">
        <f t="shared" si="57"/>
        <v>8433</v>
      </c>
      <c r="I175" s="1354">
        <v>8433</v>
      </c>
      <c r="J175" s="1354"/>
      <c r="K175" s="1354"/>
      <c r="L175" s="1347" t="s">
        <v>349</v>
      </c>
      <c r="M175" s="223">
        <f t="shared" si="58"/>
        <v>837.73421999999994</v>
      </c>
      <c r="N175" s="224">
        <f t="shared" si="59"/>
        <v>837.73421999999994</v>
      </c>
      <c r="O175" s="224">
        <f t="shared" si="60"/>
        <v>0</v>
      </c>
      <c r="P175" s="224">
        <f t="shared" si="61"/>
        <v>0</v>
      </c>
      <c r="Q175" s="208"/>
    </row>
    <row r="176" spans="1:18" hidden="1" outlineLevel="1">
      <c r="A176" s="211" t="s">
        <v>816</v>
      </c>
      <c r="B176" s="1346" t="s">
        <v>411</v>
      </c>
      <c r="C176" s="1332">
        <v>20044</v>
      </c>
      <c r="D176" s="1313" t="s">
        <v>427</v>
      </c>
      <c r="E176" s="1347" t="s">
        <v>349</v>
      </c>
      <c r="F176" s="1313" t="s">
        <v>430</v>
      </c>
      <c r="G176" s="1349">
        <v>9.9339999999999998E-2</v>
      </c>
      <c r="H176" s="222">
        <f t="shared" si="57"/>
        <v>1211</v>
      </c>
      <c r="I176" s="1354">
        <v>1211</v>
      </c>
      <c r="J176" s="1354"/>
      <c r="K176" s="1354"/>
      <c r="L176" s="1347" t="s">
        <v>349</v>
      </c>
      <c r="M176" s="223">
        <f t="shared" ref="M176:M183" si="62">SUM(N176:P176)</f>
        <v>120.30073999999999</v>
      </c>
      <c r="N176" s="224">
        <f t="shared" ref="N176:N183" si="63">G176*I176</f>
        <v>120.30073999999999</v>
      </c>
      <c r="O176" s="224">
        <f t="shared" ref="O176:O183" si="64">G176*J176*5</f>
        <v>0</v>
      </c>
      <c r="P176" s="224">
        <f t="shared" ref="P176:P183" si="65">G176*K176*5</f>
        <v>0</v>
      </c>
      <c r="Q176" s="208"/>
    </row>
    <row r="177" spans="1:17" hidden="1" outlineLevel="1">
      <c r="A177" s="211" t="s">
        <v>816</v>
      </c>
      <c r="B177" s="1346" t="s">
        <v>412</v>
      </c>
      <c r="C177" s="1332">
        <v>15141</v>
      </c>
      <c r="D177" s="1313" t="s">
        <v>427</v>
      </c>
      <c r="E177" s="1347" t="s">
        <v>349</v>
      </c>
      <c r="F177" s="1313" t="s">
        <v>429</v>
      </c>
      <c r="G177" s="1348">
        <v>9.3490000000000004E-2</v>
      </c>
      <c r="H177" s="222">
        <f t="shared" si="57"/>
        <v>9</v>
      </c>
      <c r="I177" s="1354">
        <v>9</v>
      </c>
      <c r="J177" s="1354"/>
      <c r="K177" s="1354"/>
      <c r="L177" s="1347" t="s">
        <v>349</v>
      </c>
      <c r="M177" s="223">
        <f t="shared" si="62"/>
        <v>0.84140999999999999</v>
      </c>
      <c r="N177" s="224">
        <f t="shared" si="63"/>
        <v>0.84140999999999999</v>
      </c>
      <c r="O177" s="224">
        <f t="shared" si="64"/>
        <v>0</v>
      </c>
      <c r="P177" s="224">
        <f t="shared" si="65"/>
        <v>0</v>
      </c>
      <c r="Q177" s="208"/>
    </row>
    <row r="178" spans="1:17" hidden="1" outlineLevel="1">
      <c r="A178" s="211" t="s">
        <v>816</v>
      </c>
      <c r="B178" s="1346" t="s">
        <v>413</v>
      </c>
      <c r="C178" s="1332">
        <v>16904</v>
      </c>
      <c r="D178" s="1313" t="s">
        <v>427</v>
      </c>
      <c r="E178" s="1347" t="s">
        <v>349</v>
      </c>
      <c r="F178" s="1313" t="s">
        <v>430</v>
      </c>
      <c r="G178" s="1349">
        <v>9.9339999999999998E-2</v>
      </c>
      <c r="H178" s="222">
        <f t="shared" si="57"/>
        <v>1999</v>
      </c>
      <c r="I178" s="1354">
        <v>1999</v>
      </c>
      <c r="J178" s="1354"/>
      <c r="K178" s="1354"/>
      <c r="L178" s="1347" t="s">
        <v>349</v>
      </c>
      <c r="M178" s="223">
        <f t="shared" si="62"/>
        <v>198.58065999999999</v>
      </c>
      <c r="N178" s="224">
        <f t="shared" si="63"/>
        <v>198.58065999999999</v>
      </c>
      <c r="O178" s="224">
        <f t="shared" si="64"/>
        <v>0</v>
      </c>
      <c r="P178" s="224">
        <f t="shared" si="65"/>
        <v>0</v>
      </c>
      <c r="Q178" s="208"/>
    </row>
    <row r="179" spans="1:17" hidden="1" outlineLevel="1">
      <c r="A179" s="211" t="s">
        <v>816</v>
      </c>
      <c r="B179" s="1346" t="s">
        <v>595</v>
      </c>
      <c r="C179" s="1332">
        <v>891</v>
      </c>
      <c r="D179" s="1313" t="s">
        <v>427</v>
      </c>
      <c r="E179" s="1347" t="s">
        <v>349</v>
      </c>
      <c r="F179" s="1313" t="s">
        <v>429</v>
      </c>
      <c r="G179" s="1348">
        <v>9.3490000000000004E-2</v>
      </c>
      <c r="H179" s="222">
        <f t="shared" si="57"/>
        <v>1487</v>
      </c>
      <c r="I179" s="1354">
        <v>1487</v>
      </c>
      <c r="J179" s="1354"/>
      <c r="K179" s="1354"/>
      <c r="L179" s="1347" t="s">
        <v>349</v>
      </c>
      <c r="M179" s="223">
        <f t="shared" si="62"/>
        <v>139.01963000000001</v>
      </c>
      <c r="N179" s="224">
        <f t="shared" si="63"/>
        <v>139.01963000000001</v>
      </c>
      <c r="O179" s="224">
        <f t="shared" si="64"/>
        <v>0</v>
      </c>
      <c r="P179" s="224">
        <f t="shared" si="65"/>
        <v>0</v>
      </c>
      <c r="Q179" s="208"/>
    </row>
    <row r="180" spans="1:17" hidden="1" outlineLevel="1">
      <c r="A180" s="211" t="s">
        <v>816</v>
      </c>
      <c r="B180" s="1346" t="s">
        <v>606</v>
      </c>
      <c r="C180" s="1332">
        <v>892</v>
      </c>
      <c r="D180" s="1313" t="s">
        <v>427</v>
      </c>
      <c r="E180" s="1347" t="s">
        <v>349</v>
      </c>
      <c r="F180" s="1313" t="s">
        <v>429</v>
      </c>
      <c r="G180" s="1348">
        <v>9.3490000000000004E-2</v>
      </c>
      <c r="H180" s="222">
        <f t="shared" si="57"/>
        <v>6120</v>
      </c>
      <c r="I180" s="1354">
        <v>6120</v>
      </c>
      <c r="J180" s="1354"/>
      <c r="K180" s="1354"/>
      <c r="L180" s="1347" t="s">
        <v>349</v>
      </c>
      <c r="M180" s="223">
        <f t="shared" si="62"/>
        <v>572.15880000000004</v>
      </c>
      <c r="N180" s="224">
        <f t="shared" si="63"/>
        <v>572.15880000000004</v>
      </c>
      <c r="O180" s="224">
        <f t="shared" si="64"/>
        <v>0</v>
      </c>
      <c r="P180" s="224">
        <f t="shared" si="65"/>
        <v>0</v>
      </c>
      <c r="Q180" s="208"/>
    </row>
    <row r="181" spans="1:17" hidden="1" outlineLevel="1">
      <c r="A181" s="211" t="s">
        <v>816</v>
      </c>
      <c r="B181" s="1346" t="s">
        <v>414</v>
      </c>
      <c r="C181" s="1332">
        <v>16757</v>
      </c>
      <c r="D181" s="1313" t="s">
        <v>427</v>
      </c>
      <c r="E181" s="1347" t="s">
        <v>349</v>
      </c>
      <c r="F181" s="1313" t="s">
        <v>429</v>
      </c>
      <c r="G181" s="1348">
        <v>9.3490000000000004E-2</v>
      </c>
      <c r="H181" s="222">
        <f t="shared" si="57"/>
        <v>1435</v>
      </c>
      <c r="I181" s="1354">
        <v>1435</v>
      </c>
      <c r="J181" s="1354"/>
      <c r="K181" s="1354"/>
      <c r="L181" s="1347" t="s">
        <v>349</v>
      </c>
      <c r="M181" s="223">
        <f t="shared" si="62"/>
        <v>134.15815000000001</v>
      </c>
      <c r="N181" s="224">
        <f t="shared" si="63"/>
        <v>134.15815000000001</v>
      </c>
      <c r="O181" s="224">
        <f t="shared" si="64"/>
        <v>0</v>
      </c>
      <c r="P181" s="224">
        <f t="shared" si="65"/>
        <v>0</v>
      </c>
      <c r="Q181" s="208"/>
    </row>
    <row r="182" spans="1:17" hidden="1" outlineLevel="1">
      <c r="A182" s="211" t="s">
        <v>816</v>
      </c>
      <c r="B182" s="1346" t="s">
        <v>596</v>
      </c>
      <c r="C182" s="1332">
        <v>878</v>
      </c>
      <c r="D182" s="1313" t="s">
        <v>427</v>
      </c>
      <c r="E182" s="1347" t="s">
        <v>349</v>
      </c>
      <c r="F182" s="1313" t="s">
        <v>429</v>
      </c>
      <c r="G182" s="1348">
        <v>9.3490000000000004E-2</v>
      </c>
      <c r="H182" s="222">
        <f t="shared" si="57"/>
        <v>9039</v>
      </c>
      <c r="I182" s="1354">
        <v>9039</v>
      </c>
      <c r="J182" s="1354"/>
      <c r="K182" s="1354"/>
      <c r="L182" s="1347" t="s">
        <v>349</v>
      </c>
      <c r="M182" s="223">
        <f t="shared" si="62"/>
        <v>845.05610999999999</v>
      </c>
      <c r="N182" s="224">
        <f t="shared" si="63"/>
        <v>845.05610999999999</v>
      </c>
      <c r="O182" s="224">
        <f t="shared" si="64"/>
        <v>0</v>
      </c>
      <c r="P182" s="224">
        <f t="shared" si="65"/>
        <v>0</v>
      </c>
      <c r="Q182" s="208"/>
    </row>
    <row r="183" spans="1:17" hidden="1" outlineLevel="1">
      <c r="A183" s="211" t="s">
        <v>816</v>
      </c>
      <c r="B183" s="1346" t="s">
        <v>597</v>
      </c>
      <c r="C183" s="1332">
        <v>879</v>
      </c>
      <c r="D183" s="1313" t="s">
        <v>427</v>
      </c>
      <c r="E183" s="1347" t="s">
        <v>349</v>
      </c>
      <c r="F183" s="1313" t="s">
        <v>429</v>
      </c>
      <c r="G183" s="1348">
        <v>9.3490000000000004E-2</v>
      </c>
      <c r="H183" s="222">
        <f t="shared" si="57"/>
        <v>8881</v>
      </c>
      <c r="I183" s="1354">
        <v>8881</v>
      </c>
      <c r="J183" s="1354"/>
      <c r="K183" s="1354"/>
      <c r="L183" s="1347" t="s">
        <v>349</v>
      </c>
      <c r="M183" s="223">
        <f t="shared" si="62"/>
        <v>830.28469000000007</v>
      </c>
      <c r="N183" s="224">
        <f t="shared" si="63"/>
        <v>830.28469000000007</v>
      </c>
      <c r="O183" s="224">
        <f t="shared" si="64"/>
        <v>0</v>
      </c>
      <c r="P183" s="224">
        <f t="shared" si="65"/>
        <v>0</v>
      </c>
      <c r="Q183" s="208"/>
    </row>
    <row r="184" spans="1:17" hidden="1" outlineLevel="1">
      <c r="A184" s="211" t="s">
        <v>816</v>
      </c>
      <c r="B184" s="1346" t="s">
        <v>598</v>
      </c>
      <c r="C184" s="1332">
        <v>880</v>
      </c>
      <c r="D184" s="1313" t="s">
        <v>427</v>
      </c>
      <c r="E184" s="1347" t="s">
        <v>349</v>
      </c>
      <c r="F184" s="1313" t="s">
        <v>429</v>
      </c>
      <c r="G184" s="1348">
        <v>9.3490000000000004E-2</v>
      </c>
      <c r="H184" s="222">
        <f t="shared" si="57"/>
        <v>4833</v>
      </c>
      <c r="I184" s="1354">
        <v>4833</v>
      </c>
      <c r="J184" s="1354"/>
      <c r="K184" s="1354"/>
      <c r="L184" s="1347" t="s">
        <v>349</v>
      </c>
      <c r="M184" s="223">
        <f t="shared" si="58"/>
        <v>451.83717000000001</v>
      </c>
      <c r="N184" s="224">
        <f t="shared" si="59"/>
        <v>451.83717000000001</v>
      </c>
      <c r="O184" s="224">
        <f t="shared" si="60"/>
        <v>0</v>
      </c>
      <c r="P184" s="224">
        <f t="shared" si="61"/>
        <v>0</v>
      </c>
      <c r="Q184" s="208"/>
    </row>
    <row r="185" spans="1:17" hidden="1" outlineLevel="1">
      <c r="A185" s="211" t="s">
        <v>816</v>
      </c>
      <c r="B185" s="1346" t="s">
        <v>599</v>
      </c>
      <c r="C185" s="1332">
        <v>4650</v>
      </c>
      <c r="D185" s="1313" t="s">
        <v>427</v>
      </c>
      <c r="E185" s="1347" t="s">
        <v>349</v>
      </c>
      <c r="F185" s="1313" t="s">
        <v>429</v>
      </c>
      <c r="G185" s="1348">
        <v>9.3490000000000004E-2</v>
      </c>
      <c r="H185" s="222">
        <f t="shared" si="57"/>
        <v>7403</v>
      </c>
      <c r="I185" s="1354">
        <v>7403</v>
      </c>
      <c r="J185" s="1354"/>
      <c r="K185" s="1354"/>
      <c r="L185" s="1347" t="s">
        <v>349</v>
      </c>
      <c r="M185" s="223">
        <f t="shared" si="58"/>
        <v>692.10647000000006</v>
      </c>
      <c r="N185" s="224">
        <f t="shared" si="59"/>
        <v>692.10647000000006</v>
      </c>
      <c r="O185" s="224">
        <f t="shared" si="60"/>
        <v>0</v>
      </c>
      <c r="P185" s="224">
        <f t="shared" si="61"/>
        <v>0</v>
      </c>
      <c r="Q185" s="208"/>
    </row>
    <row r="186" spans="1:17" hidden="1" outlineLevel="1">
      <c r="A186" s="211" t="s">
        <v>816</v>
      </c>
      <c r="B186" s="1346" t="s">
        <v>1303</v>
      </c>
      <c r="C186" s="1332">
        <v>14114</v>
      </c>
      <c r="D186" s="1313" t="s">
        <v>427</v>
      </c>
      <c r="E186" s="1347" t="s">
        <v>349</v>
      </c>
      <c r="F186" s="1313" t="s">
        <v>430</v>
      </c>
      <c r="G186" s="1349">
        <v>9.9339999999999998E-2</v>
      </c>
      <c r="H186" s="222">
        <f t="shared" si="57"/>
        <v>2528</v>
      </c>
      <c r="I186" s="1354">
        <v>2528</v>
      </c>
      <c r="J186" s="1354"/>
      <c r="K186" s="1354"/>
      <c r="L186" s="1347" t="s">
        <v>349</v>
      </c>
      <c r="M186" s="223">
        <f t="shared" si="58"/>
        <v>251.13151999999999</v>
      </c>
      <c r="N186" s="224">
        <f t="shared" si="59"/>
        <v>251.13151999999999</v>
      </c>
      <c r="O186" s="224">
        <f t="shared" si="60"/>
        <v>0</v>
      </c>
      <c r="P186" s="224">
        <f t="shared" si="61"/>
        <v>0</v>
      </c>
      <c r="Q186" s="208"/>
    </row>
    <row r="187" spans="1:17" hidden="1" outlineLevel="1">
      <c r="A187" s="211" t="s">
        <v>816</v>
      </c>
      <c r="B187" s="1346" t="s">
        <v>1303</v>
      </c>
      <c r="C187" s="1332">
        <v>14114</v>
      </c>
      <c r="D187" s="1313" t="s">
        <v>427</v>
      </c>
      <c r="E187" s="1347" t="s">
        <v>349</v>
      </c>
      <c r="F187" s="1313" t="s">
        <v>430</v>
      </c>
      <c r="G187" s="1349">
        <v>0.17876</v>
      </c>
      <c r="H187" s="222">
        <f t="shared" si="57"/>
        <v>7076</v>
      </c>
      <c r="I187" s="1354">
        <v>7076</v>
      </c>
      <c r="J187" s="1354"/>
      <c r="K187" s="1354"/>
      <c r="L187" s="1347" t="s">
        <v>349</v>
      </c>
      <c r="M187" s="223">
        <f t="shared" si="58"/>
        <v>1264.9057600000001</v>
      </c>
      <c r="N187" s="224">
        <f t="shared" si="59"/>
        <v>1264.9057600000001</v>
      </c>
      <c r="O187" s="224">
        <f t="shared" si="60"/>
        <v>0</v>
      </c>
      <c r="P187" s="224">
        <f t="shared" si="61"/>
        <v>0</v>
      </c>
      <c r="Q187" s="208"/>
    </row>
    <row r="188" spans="1:17" hidden="1" outlineLevel="1">
      <c r="A188" s="211" t="s">
        <v>816</v>
      </c>
      <c r="B188" s="1346" t="s">
        <v>600</v>
      </c>
      <c r="C188" s="1332">
        <v>969</v>
      </c>
      <c r="D188" s="1313" t="s">
        <v>427</v>
      </c>
      <c r="E188" s="1347" t="s">
        <v>349</v>
      </c>
      <c r="F188" s="1313" t="s">
        <v>429</v>
      </c>
      <c r="G188" s="1348">
        <v>9.3490000000000004E-2</v>
      </c>
      <c r="H188" s="222">
        <f t="shared" si="57"/>
        <v>8615</v>
      </c>
      <c r="I188" s="1354">
        <v>8615</v>
      </c>
      <c r="J188" s="1354"/>
      <c r="K188" s="1354"/>
      <c r="L188" s="1347" t="s">
        <v>349</v>
      </c>
      <c r="M188" s="223">
        <f t="shared" si="58"/>
        <v>805.41635000000008</v>
      </c>
      <c r="N188" s="224">
        <f t="shared" si="59"/>
        <v>805.41635000000008</v>
      </c>
      <c r="O188" s="224">
        <f t="shared" si="60"/>
        <v>0</v>
      </c>
      <c r="P188" s="224">
        <f t="shared" si="61"/>
        <v>0</v>
      </c>
      <c r="Q188" s="208"/>
    </row>
    <row r="189" spans="1:17" hidden="1" outlineLevel="1">
      <c r="A189" s="211" t="s">
        <v>816</v>
      </c>
      <c r="B189" s="1346" t="s">
        <v>601</v>
      </c>
      <c r="C189" s="1332">
        <v>1003</v>
      </c>
      <c r="D189" s="1313" t="s">
        <v>427</v>
      </c>
      <c r="E189" s="1347" t="s">
        <v>349</v>
      </c>
      <c r="F189" s="1313" t="s">
        <v>430</v>
      </c>
      <c r="G189" s="1349">
        <v>9.9339999999999998E-2</v>
      </c>
      <c r="H189" s="222">
        <f t="shared" si="57"/>
        <v>6384</v>
      </c>
      <c r="I189" s="1354">
        <v>6384</v>
      </c>
      <c r="J189" s="1354"/>
      <c r="K189" s="1354"/>
      <c r="L189" s="1347" t="s">
        <v>349</v>
      </c>
      <c r="M189" s="223">
        <f t="shared" si="58"/>
        <v>634.18655999999999</v>
      </c>
      <c r="N189" s="224">
        <f t="shared" si="59"/>
        <v>634.18655999999999</v>
      </c>
      <c r="O189" s="224">
        <f t="shared" si="60"/>
        <v>0</v>
      </c>
      <c r="P189" s="224">
        <f t="shared" si="61"/>
        <v>0</v>
      </c>
      <c r="Q189" s="208"/>
    </row>
    <row r="190" spans="1:17" hidden="1" outlineLevel="1">
      <c r="A190" s="211" t="s">
        <v>816</v>
      </c>
      <c r="B190" s="1346" t="s">
        <v>416</v>
      </c>
      <c r="C190" s="1332">
        <v>881</v>
      </c>
      <c r="D190" s="1313" t="s">
        <v>427</v>
      </c>
      <c r="E190" s="1347" t="s">
        <v>349</v>
      </c>
      <c r="F190" s="1313" t="s">
        <v>429</v>
      </c>
      <c r="G190" s="1348">
        <v>9.3490000000000004E-2</v>
      </c>
      <c r="H190" s="222">
        <f t="shared" si="57"/>
        <v>376</v>
      </c>
      <c r="I190" s="1354">
        <v>376</v>
      </c>
      <c r="J190" s="1354"/>
      <c r="K190" s="1354"/>
      <c r="L190" s="1347" t="s">
        <v>349</v>
      </c>
      <c r="M190" s="223">
        <f t="shared" si="58"/>
        <v>35.152239999999999</v>
      </c>
      <c r="N190" s="224">
        <f t="shared" si="59"/>
        <v>35.152239999999999</v>
      </c>
      <c r="O190" s="224">
        <f t="shared" si="60"/>
        <v>0</v>
      </c>
      <c r="P190" s="224">
        <f t="shared" si="61"/>
        <v>0</v>
      </c>
      <c r="Q190" s="208"/>
    </row>
    <row r="191" spans="1:17" hidden="1" outlineLevel="1">
      <c r="A191" s="211" t="s">
        <v>816</v>
      </c>
      <c r="B191" s="1346" t="s">
        <v>417</v>
      </c>
      <c r="C191" s="1332">
        <v>832</v>
      </c>
      <c r="D191" s="1313" t="s">
        <v>427</v>
      </c>
      <c r="E191" s="1347" t="s">
        <v>349</v>
      </c>
      <c r="F191" s="1313" t="s">
        <v>429</v>
      </c>
      <c r="G191" s="1348">
        <v>9.3490000000000004E-2</v>
      </c>
      <c r="H191" s="222">
        <f t="shared" si="57"/>
        <v>279</v>
      </c>
      <c r="I191" s="1354">
        <v>279</v>
      </c>
      <c r="J191" s="1354"/>
      <c r="K191" s="1354"/>
      <c r="L191" s="1347" t="s">
        <v>349</v>
      </c>
      <c r="M191" s="223">
        <f t="shared" si="58"/>
        <v>26.08371</v>
      </c>
      <c r="N191" s="224">
        <f t="shared" si="59"/>
        <v>26.08371</v>
      </c>
      <c r="O191" s="224">
        <f t="shared" si="60"/>
        <v>0</v>
      </c>
      <c r="P191" s="224">
        <f t="shared" si="61"/>
        <v>0</v>
      </c>
      <c r="Q191" s="208"/>
    </row>
    <row r="192" spans="1:17" hidden="1" outlineLevel="1">
      <c r="A192" s="211" t="s">
        <v>816</v>
      </c>
      <c r="B192" s="1346" t="s">
        <v>418</v>
      </c>
      <c r="C192" s="1332">
        <v>1138</v>
      </c>
      <c r="D192" s="1313" t="s">
        <v>427</v>
      </c>
      <c r="E192" s="1347" t="s">
        <v>349</v>
      </c>
      <c r="F192" s="1313" t="s">
        <v>430</v>
      </c>
      <c r="G192" s="1349">
        <v>9.9339999999999998E-2</v>
      </c>
      <c r="H192" s="222">
        <f t="shared" si="57"/>
        <v>4642</v>
      </c>
      <c r="I192" s="1354">
        <v>4642</v>
      </c>
      <c r="J192" s="1354"/>
      <c r="K192" s="1354"/>
      <c r="L192" s="1347" t="s">
        <v>349</v>
      </c>
      <c r="M192" s="223">
        <f t="shared" si="58"/>
        <v>461.13628</v>
      </c>
      <c r="N192" s="224">
        <f t="shared" si="59"/>
        <v>461.13628</v>
      </c>
      <c r="O192" s="224">
        <f t="shared" si="60"/>
        <v>0</v>
      </c>
      <c r="P192" s="224">
        <f t="shared" si="61"/>
        <v>0</v>
      </c>
      <c r="Q192" s="208"/>
    </row>
    <row r="193" spans="1:18" hidden="1" outlineLevel="1">
      <c r="A193" s="211" t="s">
        <v>816</v>
      </c>
      <c r="B193" s="1346" t="s">
        <v>419</v>
      </c>
      <c r="C193" s="1332">
        <v>1010</v>
      </c>
      <c r="D193" s="1313" t="s">
        <v>427</v>
      </c>
      <c r="E193" s="1347" t="s">
        <v>349</v>
      </c>
      <c r="F193" s="1313" t="s">
        <v>430</v>
      </c>
      <c r="G193" s="1349">
        <v>9.9339999999999998E-2</v>
      </c>
      <c r="H193" s="222">
        <f t="shared" si="57"/>
        <v>347</v>
      </c>
      <c r="I193" s="1354">
        <v>347</v>
      </c>
      <c r="J193" s="1354"/>
      <c r="K193" s="1354"/>
      <c r="L193" s="1347" t="s">
        <v>349</v>
      </c>
      <c r="M193" s="223">
        <f t="shared" si="58"/>
        <v>34.470979999999997</v>
      </c>
      <c r="N193" s="224">
        <f t="shared" si="59"/>
        <v>34.470979999999997</v>
      </c>
      <c r="O193" s="224">
        <f t="shared" si="60"/>
        <v>0</v>
      </c>
      <c r="P193" s="224">
        <f t="shared" si="61"/>
        <v>0</v>
      </c>
      <c r="Q193" s="208"/>
    </row>
    <row r="194" spans="1:18" hidden="1" outlineLevel="1">
      <c r="A194" s="211" t="s">
        <v>816</v>
      </c>
      <c r="B194" s="1346" t="s">
        <v>420</v>
      </c>
      <c r="C194" s="1332">
        <v>16476</v>
      </c>
      <c r="D194" s="1313" t="s">
        <v>427</v>
      </c>
      <c r="E194" s="1347" t="s">
        <v>349</v>
      </c>
      <c r="F194" s="1313" t="s">
        <v>430</v>
      </c>
      <c r="G194" s="1349">
        <v>9.9339999999999998E-2</v>
      </c>
      <c r="H194" s="222">
        <f t="shared" si="57"/>
        <v>157</v>
      </c>
      <c r="I194" s="1354">
        <v>157</v>
      </c>
      <c r="J194" s="1354"/>
      <c r="K194" s="1354"/>
      <c r="L194" s="1347" t="s">
        <v>349</v>
      </c>
      <c r="M194" s="223">
        <f t="shared" si="58"/>
        <v>15.59638</v>
      </c>
      <c r="N194" s="224">
        <f t="shared" si="59"/>
        <v>15.59638</v>
      </c>
      <c r="O194" s="224">
        <f t="shared" si="60"/>
        <v>0</v>
      </c>
      <c r="P194" s="224">
        <f t="shared" si="61"/>
        <v>0</v>
      </c>
      <c r="Q194" s="208"/>
    </row>
    <row r="195" spans="1:18" hidden="1" outlineLevel="1">
      <c r="A195" s="211" t="s">
        <v>816</v>
      </c>
      <c r="B195" s="1346" t="s">
        <v>602</v>
      </c>
      <c r="C195" s="1332">
        <v>965</v>
      </c>
      <c r="D195" s="1313" t="s">
        <v>427</v>
      </c>
      <c r="E195" s="1347" t="s">
        <v>349</v>
      </c>
      <c r="F195" s="1313" t="s">
        <v>429</v>
      </c>
      <c r="G195" s="1348">
        <v>9.3490000000000004E-2</v>
      </c>
      <c r="H195" s="222">
        <f t="shared" si="57"/>
        <v>2147</v>
      </c>
      <c r="I195" s="1354">
        <v>2147</v>
      </c>
      <c r="J195" s="1354"/>
      <c r="K195" s="1354"/>
      <c r="L195" s="1347" t="s">
        <v>349</v>
      </c>
      <c r="M195" s="223">
        <f t="shared" si="58"/>
        <v>200.72302999999999</v>
      </c>
      <c r="N195" s="224">
        <f t="shared" si="59"/>
        <v>200.72302999999999</v>
      </c>
      <c r="O195" s="224">
        <f t="shared" si="60"/>
        <v>0</v>
      </c>
      <c r="P195" s="224">
        <f t="shared" si="61"/>
        <v>0</v>
      </c>
      <c r="Q195" s="208"/>
    </row>
    <row r="196" spans="1:18" hidden="1" outlineLevel="1">
      <c r="A196" s="211" t="s">
        <v>816</v>
      </c>
      <c r="B196" s="1346" t="s">
        <v>603</v>
      </c>
      <c r="C196" s="1332">
        <v>968</v>
      </c>
      <c r="D196" s="1313" t="s">
        <v>427</v>
      </c>
      <c r="E196" s="1347" t="s">
        <v>349</v>
      </c>
      <c r="F196" s="1313" t="s">
        <v>429</v>
      </c>
      <c r="G196" s="1348">
        <v>9.3490000000000004E-2</v>
      </c>
      <c r="H196" s="222">
        <f t="shared" si="57"/>
        <v>1259</v>
      </c>
      <c r="I196" s="1354">
        <v>1259</v>
      </c>
      <c r="J196" s="1354"/>
      <c r="K196" s="1354"/>
      <c r="L196" s="1347" t="s">
        <v>349</v>
      </c>
      <c r="M196" s="223">
        <f t="shared" si="58"/>
        <v>117.70391000000001</v>
      </c>
      <c r="N196" s="224">
        <f t="shared" si="59"/>
        <v>117.70391000000001</v>
      </c>
      <c r="O196" s="224">
        <f t="shared" si="60"/>
        <v>0</v>
      </c>
      <c r="P196" s="224">
        <f t="shared" si="61"/>
        <v>0</v>
      </c>
      <c r="Q196" s="208"/>
    </row>
    <row r="197" spans="1:18" hidden="1" outlineLevel="1">
      <c r="A197" s="211" t="s">
        <v>816</v>
      </c>
      <c r="B197" s="1346" t="s">
        <v>421</v>
      </c>
      <c r="C197" s="1332">
        <v>964</v>
      </c>
      <c r="D197" s="1313" t="s">
        <v>427</v>
      </c>
      <c r="E197" s="1347" t="s">
        <v>349</v>
      </c>
      <c r="F197" s="1313" t="s">
        <v>429</v>
      </c>
      <c r="G197" s="1348">
        <v>9.3490000000000004E-2</v>
      </c>
      <c r="H197" s="222">
        <f t="shared" si="57"/>
        <v>83</v>
      </c>
      <c r="I197" s="1354">
        <v>83</v>
      </c>
      <c r="J197" s="1354"/>
      <c r="K197" s="1354"/>
      <c r="L197" s="1347" t="s">
        <v>349</v>
      </c>
      <c r="M197" s="223">
        <f t="shared" si="58"/>
        <v>7.7596700000000007</v>
      </c>
      <c r="N197" s="224">
        <f t="shared" si="59"/>
        <v>7.7596700000000007</v>
      </c>
      <c r="O197" s="224">
        <f t="shared" si="60"/>
        <v>0</v>
      </c>
      <c r="P197" s="224">
        <f t="shared" si="61"/>
        <v>0</v>
      </c>
      <c r="Q197" s="208"/>
    </row>
    <row r="198" spans="1:18" hidden="1" outlineLevel="1">
      <c r="A198" s="211" t="s">
        <v>816</v>
      </c>
      <c r="B198" s="1346" t="s">
        <v>422</v>
      </c>
      <c r="C198" s="1332">
        <v>16477</v>
      </c>
      <c r="D198" s="1313" t="s">
        <v>427</v>
      </c>
      <c r="E198" s="1347" t="s">
        <v>349</v>
      </c>
      <c r="F198" s="1313" t="s">
        <v>430</v>
      </c>
      <c r="G198" s="1349">
        <v>9.9339999999999998E-2</v>
      </c>
      <c r="H198" s="222">
        <f t="shared" si="57"/>
        <v>57</v>
      </c>
      <c r="I198" s="1354">
        <v>57</v>
      </c>
      <c r="J198" s="1354"/>
      <c r="K198" s="1354"/>
      <c r="L198" s="1347" t="s">
        <v>349</v>
      </c>
      <c r="M198" s="223">
        <f t="shared" si="58"/>
        <v>5.6623799999999997</v>
      </c>
      <c r="N198" s="224">
        <f t="shared" si="59"/>
        <v>5.6623799999999997</v>
      </c>
      <c r="O198" s="224">
        <f t="shared" si="60"/>
        <v>0</v>
      </c>
      <c r="P198" s="224">
        <f t="shared" si="61"/>
        <v>0</v>
      </c>
      <c r="Q198" s="208"/>
    </row>
    <row r="199" spans="1:18" hidden="1" outlineLevel="1">
      <c r="A199" s="211" t="s">
        <v>816</v>
      </c>
      <c r="B199" s="1346" t="s">
        <v>423</v>
      </c>
      <c r="C199" s="1332">
        <v>703</v>
      </c>
      <c r="D199" s="1313" t="s">
        <v>427</v>
      </c>
      <c r="E199" s="1347" t="s">
        <v>349</v>
      </c>
      <c r="F199" s="1313" t="s">
        <v>430</v>
      </c>
      <c r="G199" s="1349">
        <v>9.9339999999999998E-2</v>
      </c>
      <c r="H199" s="222">
        <f t="shared" si="57"/>
        <v>1479</v>
      </c>
      <c r="I199" s="1354">
        <v>1479</v>
      </c>
      <c r="J199" s="1354"/>
      <c r="K199" s="1354"/>
      <c r="L199" s="1347" t="s">
        <v>349</v>
      </c>
      <c r="M199" s="223">
        <f t="shared" si="58"/>
        <v>146.92385999999999</v>
      </c>
      <c r="N199" s="224">
        <f t="shared" si="59"/>
        <v>146.92385999999999</v>
      </c>
      <c r="O199" s="224">
        <f t="shared" si="60"/>
        <v>0</v>
      </c>
      <c r="P199" s="224">
        <f t="shared" si="61"/>
        <v>0</v>
      </c>
      <c r="Q199" s="208"/>
    </row>
    <row r="200" spans="1:18" hidden="1" outlineLevel="1">
      <c r="A200" s="225" t="s">
        <v>816</v>
      </c>
      <c r="B200" s="1350" t="s">
        <v>604</v>
      </c>
      <c r="C200" s="1336">
        <v>707</v>
      </c>
      <c r="D200" s="1321" t="s">
        <v>427</v>
      </c>
      <c r="E200" s="1351" t="s">
        <v>349</v>
      </c>
      <c r="F200" s="1321" t="s">
        <v>430</v>
      </c>
      <c r="G200" s="1352">
        <v>9.9339999999999998E-2</v>
      </c>
      <c r="H200" s="226">
        <f t="shared" si="57"/>
        <v>3956</v>
      </c>
      <c r="I200" s="1355">
        <v>3956</v>
      </c>
      <c r="J200" s="1355"/>
      <c r="K200" s="1355"/>
      <c r="L200" s="1351" t="s">
        <v>349</v>
      </c>
      <c r="M200" s="227">
        <f t="shared" si="58"/>
        <v>392.98903999999999</v>
      </c>
      <c r="N200" s="228">
        <f t="shared" si="59"/>
        <v>392.98903999999999</v>
      </c>
      <c r="O200" s="228">
        <f t="shared" si="60"/>
        <v>0</v>
      </c>
      <c r="P200" s="228">
        <f t="shared" si="61"/>
        <v>0</v>
      </c>
      <c r="Q200" s="229"/>
      <c r="R200" s="512">
        <f>SUM(M173:M200)</f>
        <v>9330.8355700000011</v>
      </c>
    </row>
    <row r="201" spans="1:18" hidden="1" outlineLevel="1">
      <c r="A201" s="211" t="s">
        <v>816</v>
      </c>
      <c r="B201" s="1346" t="s">
        <v>408</v>
      </c>
      <c r="C201" s="1332">
        <v>841</v>
      </c>
      <c r="D201" s="1313" t="s">
        <v>431</v>
      </c>
      <c r="E201" s="1347" t="s">
        <v>349</v>
      </c>
      <c r="F201" s="1313" t="s">
        <v>429</v>
      </c>
      <c r="G201" s="1348">
        <v>9.3490000000000004E-2</v>
      </c>
      <c r="H201" s="222">
        <f t="shared" si="57"/>
        <v>309</v>
      </c>
      <c r="I201" s="1354">
        <v>309</v>
      </c>
      <c r="J201" s="1354"/>
      <c r="K201" s="1354"/>
      <c r="L201" s="1347" t="s">
        <v>349</v>
      </c>
      <c r="M201" s="223">
        <f t="shared" ref="M201:M288" si="66">SUM(N201:P201)</f>
        <v>28.88841</v>
      </c>
      <c r="N201" s="224">
        <f t="shared" si="59"/>
        <v>28.88841</v>
      </c>
      <c r="O201" s="224">
        <f t="shared" si="60"/>
        <v>0</v>
      </c>
      <c r="P201" s="224">
        <f t="shared" si="61"/>
        <v>0</v>
      </c>
      <c r="Q201" s="205"/>
    </row>
    <row r="202" spans="1:18" hidden="1" outlineLevel="1">
      <c r="A202" s="211" t="s">
        <v>816</v>
      </c>
      <c r="B202" s="1346" t="s">
        <v>409</v>
      </c>
      <c r="C202" s="1332">
        <v>21717</v>
      </c>
      <c r="D202" s="1313" t="s">
        <v>431</v>
      </c>
      <c r="E202" s="1347" t="s">
        <v>349</v>
      </c>
      <c r="F202" s="1313" t="s">
        <v>429</v>
      </c>
      <c r="G202" s="1348">
        <v>9.3490000000000004E-2</v>
      </c>
      <c r="H202" s="222">
        <f t="shared" si="57"/>
        <v>1004</v>
      </c>
      <c r="I202" s="1354">
        <v>1004</v>
      </c>
      <c r="J202" s="1354"/>
      <c r="K202" s="1354"/>
      <c r="L202" s="1347" t="s">
        <v>349</v>
      </c>
      <c r="M202" s="223">
        <f t="shared" si="66"/>
        <v>93.863960000000006</v>
      </c>
      <c r="N202" s="224">
        <f t="shared" si="59"/>
        <v>93.863960000000006</v>
      </c>
      <c r="O202" s="224">
        <f t="shared" si="60"/>
        <v>0</v>
      </c>
      <c r="P202" s="224">
        <f t="shared" si="61"/>
        <v>0</v>
      </c>
      <c r="Q202" s="205"/>
    </row>
    <row r="203" spans="1:18" hidden="1" outlineLevel="1">
      <c r="A203" s="211" t="s">
        <v>816</v>
      </c>
      <c r="B203" s="1346" t="s">
        <v>410</v>
      </c>
      <c r="C203" s="1332">
        <v>749</v>
      </c>
      <c r="D203" s="1313" t="s">
        <v>431</v>
      </c>
      <c r="E203" s="1347" t="s">
        <v>349</v>
      </c>
      <c r="F203" s="1313" t="s">
        <v>430</v>
      </c>
      <c r="G203" s="1349">
        <v>9.9339999999999998E-2</v>
      </c>
      <c r="H203" s="222">
        <f t="shared" si="57"/>
        <v>10742</v>
      </c>
      <c r="I203" s="1354">
        <v>9000</v>
      </c>
      <c r="J203" s="1354">
        <v>1742</v>
      </c>
      <c r="K203" s="1354"/>
      <c r="L203" s="1347" t="s">
        <v>349</v>
      </c>
      <c r="M203" s="223">
        <f t="shared" si="66"/>
        <v>1759.3113999999998</v>
      </c>
      <c r="N203" s="224">
        <f t="shared" si="59"/>
        <v>894.06</v>
      </c>
      <c r="O203" s="224">
        <f t="shared" si="60"/>
        <v>865.25139999999988</v>
      </c>
      <c r="P203" s="224">
        <f t="shared" si="61"/>
        <v>0</v>
      </c>
      <c r="Q203" s="205"/>
    </row>
    <row r="204" spans="1:18" hidden="1" outlineLevel="1">
      <c r="A204" s="211" t="s">
        <v>816</v>
      </c>
      <c r="B204" s="1346" t="s">
        <v>411</v>
      </c>
      <c r="C204" s="1332">
        <v>20044</v>
      </c>
      <c r="D204" s="1313" t="s">
        <v>431</v>
      </c>
      <c r="E204" s="1347" t="s">
        <v>349</v>
      </c>
      <c r="F204" s="1313" t="s">
        <v>430</v>
      </c>
      <c r="G204" s="1349">
        <v>9.9339999999999998E-2</v>
      </c>
      <c r="H204" s="222">
        <f t="shared" si="57"/>
        <v>1816</v>
      </c>
      <c r="I204" s="1354">
        <v>1816</v>
      </c>
      <c r="J204" s="1354"/>
      <c r="K204" s="1354"/>
      <c r="L204" s="1347" t="s">
        <v>349</v>
      </c>
      <c r="M204" s="223">
        <f t="shared" si="66"/>
        <v>180.40144000000001</v>
      </c>
      <c r="N204" s="224">
        <f t="shared" si="59"/>
        <v>180.40144000000001</v>
      </c>
      <c r="O204" s="224">
        <f t="shared" si="60"/>
        <v>0</v>
      </c>
      <c r="P204" s="224">
        <f t="shared" si="61"/>
        <v>0</v>
      </c>
      <c r="Q204" s="205"/>
    </row>
    <row r="205" spans="1:18" hidden="1" outlineLevel="1">
      <c r="A205" s="211" t="s">
        <v>816</v>
      </c>
      <c r="B205" s="1346" t="s">
        <v>412</v>
      </c>
      <c r="C205" s="1332">
        <v>15141</v>
      </c>
      <c r="D205" s="1313" t="s">
        <v>431</v>
      </c>
      <c r="E205" s="1347" t="s">
        <v>349</v>
      </c>
      <c r="F205" s="1313" t="s">
        <v>429</v>
      </c>
      <c r="G205" s="1348">
        <v>9.3490000000000004E-2</v>
      </c>
      <c r="H205" s="222">
        <f t="shared" si="57"/>
        <v>9</v>
      </c>
      <c r="I205" s="1354">
        <v>9</v>
      </c>
      <c r="J205" s="1354"/>
      <c r="K205" s="1354"/>
      <c r="L205" s="1347" t="s">
        <v>349</v>
      </c>
      <c r="M205" s="223">
        <f t="shared" si="66"/>
        <v>0.84140999999999999</v>
      </c>
      <c r="N205" s="224">
        <f t="shared" si="59"/>
        <v>0.84140999999999999</v>
      </c>
      <c r="O205" s="224">
        <f t="shared" si="60"/>
        <v>0</v>
      </c>
      <c r="P205" s="224">
        <f t="shared" si="61"/>
        <v>0</v>
      </c>
      <c r="Q205" s="205"/>
    </row>
    <row r="206" spans="1:18" hidden="1" outlineLevel="1">
      <c r="A206" s="211" t="s">
        <v>816</v>
      </c>
      <c r="B206" s="1346" t="s">
        <v>413</v>
      </c>
      <c r="C206" s="1332">
        <v>16904</v>
      </c>
      <c r="D206" s="1313" t="s">
        <v>431</v>
      </c>
      <c r="E206" s="1347" t="s">
        <v>349</v>
      </c>
      <c r="F206" s="1313" t="s">
        <v>430</v>
      </c>
      <c r="G206" s="1349">
        <v>9.9339999999999998E-2</v>
      </c>
      <c r="H206" s="222">
        <f t="shared" si="57"/>
        <v>2166</v>
      </c>
      <c r="I206" s="1354">
        <v>2166</v>
      </c>
      <c r="J206" s="1354"/>
      <c r="K206" s="1354"/>
      <c r="L206" s="1347" t="s">
        <v>349</v>
      </c>
      <c r="M206" s="223">
        <f t="shared" si="66"/>
        <v>215.17043999999999</v>
      </c>
      <c r="N206" s="224">
        <f t="shared" si="59"/>
        <v>215.17043999999999</v>
      </c>
      <c r="O206" s="224">
        <f t="shared" si="60"/>
        <v>0</v>
      </c>
      <c r="P206" s="224">
        <f t="shared" si="61"/>
        <v>0</v>
      </c>
      <c r="Q206" s="205"/>
    </row>
    <row r="207" spans="1:18" hidden="1" outlineLevel="1">
      <c r="A207" s="211" t="s">
        <v>816</v>
      </c>
      <c r="B207" s="1346" t="s">
        <v>605</v>
      </c>
      <c r="C207" s="1332">
        <v>891</v>
      </c>
      <c r="D207" s="1313" t="s">
        <v>431</v>
      </c>
      <c r="E207" s="1347" t="s">
        <v>349</v>
      </c>
      <c r="F207" s="1313" t="s">
        <v>429</v>
      </c>
      <c r="G207" s="1348">
        <v>9.3490000000000004E-2</v>
      </c>
      <c r="H207" s="222">
        <f t="shared" si="57"/>
        <v>1667</v>
      </c>
      <c r="I207" s="1354">
        <v>1667</v>
      </c>
      <c r="J207" s="1354"/>
      <c r="K207" s="1354"/>
      <c r="L207" s="1347" t="s">
        <v>349</v>
      </c>
      <c r="M207" s="223">
        <f t="shared" si="66"/>
        <v>155.84783000000002</v>
      </c>
      <c r="N207" s="224">
        <f t="shared" si="59"/>
        <v>155.84783000000002</v>
      </c>
      <c r="O207" s="224">
        <f t="shared" si="60"/>
        <v>0</v>
      </c>
      <c r="P207" s="224">
        <f t="shared" si="61"/>
        <v>0</v>
      </c>
      <c r="Q207" s="205"/>
    </row>
    <row r="208" spans="1:18" hidden="1" outlineLevel="1">
      <c r="A208" s="211" t="s">
        <v>816</v>
      </c>
      <c r="B208" s="1346" t="s">
        <v>606</v>
      </c>
      <c r="C208" s="1332">
        <v>892</v>
      </c>
      <c r="D208" s="1313" t="s">
        <v>431</v>
      </c>
      <c r="E208" s="1347" t="s">
        <v>349</v>
      </c>
      <c r="F208" s="1313" t="s">
        <v>429</v>
      </c>
      <c r="G208" s="1348">
        <v>9.3490000000000004E-2</v>
      </c>
      <c r="H208" s="222">
        <f t="shared" si="57"/>
        <v>6576</v>
      </c>
      <c r="I208" s="1354">
        <v>6576</v>
      </c>
      <c r="J208" s="1354"/>
      <c r="K208" s="1354"/>
      <c r="L208" s="1347" t="s">
        <v>349</v>
      </c>
      <c r="M208" s="223">
        <f t="shared" si="66"/>
        <v>614.79024000000004</v>
      </c>
      <c r="N208" s="224">
        <f t="shared" si="59"/>
        <v>614.79024000000004</v>
      </c>
      <c r="O208" s="224">
        <f t="shared" si="60"/>
        <v>0</v>
      </c>
      <c r="P208" s="224">
        <f t="shared" si="61"/>
        <v>0</v>
      </c>
      <c r="Q208" s="205"/>
    </row>
    <row r="209" spans="1:17" hidden="1" outlineLevel="1">
      <c r="A209" s="211" t="s">
        <v>816</v>
      </c>
      <c r="B209" s="1346" t="s">
        <v>1302</v>
      </c>
      <c r="C209" s="1332">
        <v>708</v>
      </c>
      <c r="D209" s="1313" t="s">
        <v>431</v>
      </c>
      <c r="E209" s="1347" t="s">
        <v>349</v>
      </c>
      <c r="F209" s="1313" t="s">
        <v>430</v>
      </c>
      <c r="G209" s="1349">
        <v>9.9339999999999998E-2</v>
      </c>
      <c r="H209" s="222">
        <f t="shared" si="57"/>
        <v>0</v>
      </c>
      <c r="I209" s="1354">
        <v>0</v>
      </c>
      <c r="J209" s="1354"/>
      <c r="K209" s="1354"/>
      <c r="L209" s="1347" t="s">
        <v>349</v>
      </c>
      <c r="M209" s="223">
        <f t="shared" ref="M209:M220" si="67">SUM(N209:P209)</f>
        <v>0</v>
      </c>
      <c r="N209" s="224">
        <f t="shared" ref="N209:N220" si="68">G209*I209</f>
        <v>0</v>
      </c>
      <c r="O209" s="224">
        <f t="shared" ref="O209:O220" si="69">G209*J209*5</f>
        <v>0</v>
      </c>
      <c r="P209" s="224">
        <f t="shared" ref="P209:P220" si="70">G209*K209*5</f>
        <v>0</v>
      </c>
      <c r="Q209" s="205"/>
    </row>
    <row r="210" spans="1:17" hidden="1" outlineLevel="1">
      <c r="A210" s="211" t="s">
        <v>816</v>
      </c>
      <c r="B210" s="1346" t="s">
        <v>414</v>
      </c>
      <c r="C210" s="1332">
        <v>16757</v>
      </c>
      <c r="D210" s="1313" t="s">
        <v>431</v>
      </c>
      <c r="E210" s="1347" t="s">
        <v>349</v>
      </c>
      <c r="F210" s="1313" t="s">
        <v>429</v>
      </c>
      <c r="G210" s="1348">
        <v>9.3490000000000004E-2</v>
      </c>
      <c r="H210" s="222">
        <f t="shared" si="57"/>
        <v>934</v>
      </c>
      <c r="I210" s="1354">
        <v>934</v>
      </c>
      <c r="J210" s="1354"/>
      <c r="K210" s="1354"/>
      <c r="L210" s="1347" t="s">
        <v>349</v>
      </c>
      <c r="M210" s="223">
        <f t="shared" si="67"/>
        <v>87.319659999999999</v>
      </c>
      <c r="N210" s="224">
        <f t="shared" si="68"/>
        <v>87.319659999999999</v>
      </c>
      <c r="O210" s="224">
        <f t="shared" si="69"/>
        <v>0</v>
      </c>
      <c r="P210" s="224">
        <f t="shared" si="70"/>
        <v>0</v>
      </c>
      <c r="Q210" s="205"/>
    </row>
    <row r="211" spans="1:17" hidden="1" outlineLevel="1">
      <c r="A211" s="211" t="s">
        <v>816</v>
      </c>
      <c r="B211" s="1346" t="s">
        <v>596</v>
      </c>
      <c r="C211" s="1332">
        <v>878</v>
      </c>
      <c r="D211" s="1313" t="s">
        <v>431</v>
      </c>
      <c r="E211" s="1347" t="s">
        <v>349</v>
      </c>
      <c r="F211" s="1313" t="s">
        <v>429</v>
      </c>
      <c r="G211" s="1348">
        <v>9.3490000000000004E-2</v>
      </c>
      <c r="H211" s="222">
        <f t="shared" si="57"/>
        <v>9206</v>
      </c>
      <c r="I211" s="1354">
        <v>9206</v>
      </c>
      <c r="J211" s="1354"/>
      <c r="K211" s="1354"/>
      <c r="L211" s="1347" t="s">
        <v>349</v>
      </c>
      <c r="M211" s="223">
        <f t="shared" si="67"/>
        <v>860.66894000000002</v>
      </c>
      <c r="N211" s="224">
        <f t="shared" si="68"/>
        <v>860.66894000000002</v>
      </c>
      <c r="O211" s="224">
        <f t="shared" si="69"/>
        <v>0</v>
      </c>
      <c r="P211" s="224">
        <f t="shared" si="70"/>
        <v>0</v>
      </c>
      <c r="Q211" s="205"/>
    </row>
    <row r="212" spans="1:17" hidden="1" outlineLevel="1">
      <c r="A212" s="211" t="s">
        <v>816</v>
      </c>
      <c r="B212" s="1346" t="s">
        <v>597</v>
      </c>
      <c r="C212" s="1332">
        <v>879</v>
      </c>
      <c r="D212" s="1313" t="s">
        <v>431</v>
      </c>
      <c r="E212" s="1347" t="s">
        <v>349</v>
      </c>
      <c r="F212" s="1313" t="s">
        <v>429</v>
      </c>
      <c r="G212" s="1348">
        <v>9.3490000000000004E-2</v>
      </c>
      <c r="H212" s="222">
        <f t="shared" si="57"/>
        <v>7166</v>
      </c>
      <c r="I212" s="1354">
        <v>7166</v>
      </c>
      <c r="J212" s="1354"/>
      <c r="K212" s="1354"/>
      <c r="L212" s="1347" t="s">
        <v>349</v>
      </c>
      <c r="M212" s="223">
        <f t="shared" si="67"/>
        <v>669.94934000000001</v>
      </c>
      <c r="N212" s="224">
        <f t="shared" si="68"/>
        <v>669.94934000000001</v>
      </c>
      <c r="O212" s="224">
        <f t="shared" si="69"/>
        <v>0</v>
      </c>
      <c r="P212" s="224">
        <f t="shared" si="70"/>
        <v>0</v>
      </c>
      <c r="Q212" s="205"/>
    </row>
    <row r="213" spans="1:17" hidden="1" outlineLevel="1">
      <c r="A213" s="211" t="s">
        <v>816</v>
      </c>
      <c r="B213" s="1346" t="s">
        <v>598</v>
      </c>
      <c r="C213" s="1332">
        <v>880</v>
      </c>
      <c r="D213" s="1313" t="s">
        <v>431</v>
      </c>
      <c r="E213" s="1347" t="s">
        <v>349</v>
      </c>
      <c r="F213" s="1313" t="s">
        <v>429</v>
      </c>
      <c r="G213" s="1348">
        <v>9.3490000000000004E-2</v>
      </c>
      <c r="H213" s="222">
        <f t="shared" si="57"/>
        <v>6899</v>
      </c>
      <c r="I213" s="1354">
        <v>6899</v>
      </c>
      <c r="J213" s="1354"/>
      <c r="K213" s="1354"/>
      <c r="L213" s="1347" t="s">
        <v>349</v>
      </c>
      <c r="M213" s="223">
        <f t="shared" si="67"/>
        <v>644.98751000000004</v>
      </c>
      <c r="N213" s="224">
        <f t="shared" si="68"/>
        <v>644.98751000000004</v>
      </c>
      <c r="O213" s="224">
        <f t="shared" si="69"/>
        <v>0</v>
      </c>
      <c r="P213" s="224">
        <f t="shared" si="70"/>
        <v>0</v>
      </c>
      <c r="Q213" s="205"/>
    </row>
    <row r="214" spans="1:17" hidden="1" outlineLevel="1">
      <c r="A214" s="211" t="s">
        <v>816</v>
      </c>
      <c r="B214" s="1346" t="s">
        <v>415</v>
      </c>
      <c r="C214" s="1332">
        <v>1003</v>
      </c>
      <c r="D214" s="1313" t="s">
        <v>431</v>
      </c>
      <c r="E214" s="1347" t="s">
        <v>349</v>
      </c>
      <c r="F214" s="1313" t="s">
        <v>430</v>
      </c>
      <c r="G214" s="1349">
        <v>9.9339999999999998E-2</v>
      </c>
      <c r="H214" s="222">
        <f t="shared" si="57"/>
        <v>0</v>
      </c>
      <c r="I214" s="1354">
        <v>0</v>
      </c>
      <c r="J214" s="1354"/>
      <c r="K214" s="1354"/>
      <c r="L214" s="1347" t="s">
        <v>349</v>
      </c>
      <c r="M214" s="223">
        <f t="shared" si="67"/>
        <v>0</v>
      </c>
      <c r="N214" s="224">
        <f t="shared" si="68"/>
        <v>0</v>
      </c>
      <c r="O214" s="224">
        <f t="shared" si="69"/>
        <v>0</v>
      </c>
      <c r="P214" s="224">
        <f t="shared" si="70"/>
        <v>0</v>
      </c>
      <c r="Q214" s="205"/>
    </row>
    <row r="215" spans="1:17" hidden="1" outlineLevel="1">
      <c r="A215" s="211" t="s">
        <v>816</v>
      </c>
      <c r="B215" s="1346" t="s">
        <v>607</v>
      </c>
      <c r="C215" s="1332">
        <v>4650</v>
      </c>
      <c r="D215" s="1313" t="s">
        <v>431</v>
      </c>
      <c r="E215" s="1347" t="s">
        <v>349</v>
      </c>
      <c r="F215" s="1313" t="s">
        <v>429</v>
      </c>
      <c r="G215" s="1348">
        <v>9.3490000000000004E-2</v>
      </c>
      <c r="H215" s="222">
        <f t="shared" si="57"/>
        <v>7554</v>
      </c>
      <c r="I215" s="1354">
        <v>7554</v>
      </c>
      <c r="J215" s="1354"/>
      <c r="K215" s="1354"/>
      <c r="L215" s="1347" t="s">
        <v>349</v>
      </c>
      <c r="M215" s="223">
        <f t="shared" si="67"/>
        <v>706.22346000000005</v>
      </c>
      <c r="N215" s="224">
        <f t="shared" si="68"/>
        <v>706.22346000000005</v>
      </c>
      <c r="O215" s="224">
        <f t="shared" si="69"/>
        <v>0</v>
      </c>
      <c r="P215" s="224">
        <f t="shared" si="70"/>
        <v>0</v>
      </c>
      <c r="Q215" s="205"/>
    </row>
    <row r="216" spans="1:17" hidden="1" outlineLevel="1">
      <c r="A216" s="211" t="s">
        <v>816</v>
      </c>
      <c r="B216" s="1346" t="s">
        <v>1303</v>
      </c>
      <c r="C216" s="1332">
        <v>14114</v>
      </c>
      <c r="D216" s="1313" t="s">
        <v>431</v>
      </c>
      <c r="E216" s="1347" t="s">
        <v>349</v>
      </c>
      <c r="F216" s="1313" t="s">
        <v>430</v>
      </c>
      <c r="G216" s="1349">
        <v>0.17876</v>
      </c>
      <c r="H216" s="222">
        <f t="shared" si="57"/>
        <v>6872</v>
      </c>
      <c r="I216" s="1354">
        <v>6872</v>
      </c>
      <c r="J216" s="1354"/>
      <c r="K216" s="1354"/>
      <c r="L216" s="1347" t="s">
        <v>349</v>
      </c>
      <c r="M216" s="223">
        <f t="shared" si="67"/>
        <v>1228.4387200000001</v>
      </c>
      <c r="N216" s="224">
        <f t="shared" si="68"/>
        <v>1228.4387200000001</v>
      </c>
      <c r="O216" s="224">
        <f t="shared" si="69"/>
        <v>0</v>
      </c>
      <c r="P216" s="224">
        <f t="shared" si="70"/>
        <v>0</v>
      </c>
      <c r="Q216" s="205"/>
    </row>
    <row r="217" spans="1:17" hidden="1" outlineLevel="1">
      <c r="A217" s="211" t="s">
        <v>816</v>
      </c>
      <c r="B217" s="1346" t="s">
        <v>1303</v>
      </c>
      <c r="C217" s="1332">
        <v>14114</v>
      </c>
      <c r="D217" s="1313" t="s">
        <v>431</v>
      </c>
      <c r="E217" s="1347" t="s">
        <v>349</v>
      </c>
      <c r="F217" s="1313" t="s">
        <v>430</v>
      </c>
      <c r="G217" s="1349">
        <v>9.9339999999999998E-2</v>
      </c>
      <c r="H217" s="222">
        <f t="shared" si="57"/>
        <v>3438</v>
      </c>
      <c r="I217" s="1354">
        <v>3438</v>
      </c>
      <c r="J217" s="1354"/>
      <c r="K217" s="1354"/>
      <c r="L217" s="1347" t="s">
        <v>349</v>
      </c>
      <c r="M217" s="223">
        <f t="shared" si="67"/>
        <v>341.53091999999998</v>
      </c>
      <c r="N217" s="224">
        <f t="shared" si="68"/>
        <v>341.53091999999998</v>
      </c>
      <c r="O217" s="224">
        <f t="shared" si="69"/>
        <v>0</v>
      </c>
      <c r="P217" s="224">
        <f t="shared" si="70"/>
        <v>0</v>
      </c>
      <c r="Q217" s="205"/>
    </row>
    <row r="218" spans="1:17" hidden="1" outlineLevel="1">
      <c r="A218" s="211" t="s">
        <v>816</v>
      </c>
      <c r="B218" s="1346" t="s">
        <v>608</v>
      </c>
      <c r="C218" s="1332">
        <v>969</v>
      </c>
      <c r="D218" s="1313" t="s">
        <v>431</v>
      </c>
      <c r="E218" s="1347" t="s">
        <v>349</v>
      </c>
      <c r="F218" s="1313" t="s">
        <v>429</v>
      </c>
      <c r="G218" s="1348">
        <v>9.3490000000000004E-2</v>
      </c>
      <c r="H218" s="222">
        <f t="shared" si="57"/>
        <v>8032</v>
      </c>
      <c r="I218" s="1354">
        <v>8032</v>
      </c>
      <c r="J218" s="1354"/>
      <c r="K218" s="1354"/>
      <c r="L218" s="1347" t="s">
        <v>349</v>
      </c>
      <c r="M218" s="223">
        <f t="shared" si="67"/>
        <v>750.91168000000005</v>
      </c>
      <c r="N218" s="224">
        <f t="shared" si="68"/>
        <v>750.91168000000005</v>
      </c>
      <c r="O218" s="224">
        <f t="shared" si="69"/>
        <v>0</v>
      </c>
      <c r="P218" s="224">
        <f t="shared" si="70"/>
        <v>0</v>
      </c>
      <c r="Q218" s="205"/>
    </row>
    <row r="219" spans="1:17" hidden="1" outlineLevel="1">
      <c r="A219" s="211" t="s">
        <v>816</v>
      </c>
      <c r="B219" s="1346" t="s">
        <v>609</v>
      </c>
      <c r="C219" s="1332">
        <v>1003</v>
      </c>
      <c r="D219" s="1313" t="s">
        <v>431</v>
      </c>
      <c r="E219" s="1347" t="s">
        <v>349</v>
      </c>
      <c r="F219" s="1313" t="s">
        <v>430</v>
      </c>
      <c r="G219" s="1349">
        <v>9.9339999999999998E-2</v>
      </c>
      <c r="H219" s="222">
        <f t="shared" si="57"/>
        <v>5708</v>
      </c>
      <c r="I219" s="1354">
        <v>5708</v>
      </c>
      <c r="J219" s="1354"/>
      <c r="K219" s="1354"/>
      <c r="L219" s="1347" t="s">
        <v>349</v>
      </c>
      <c r="M219" s="223">
        <f t="shared" si="67"/>
        <v>567.03272000000004</v>
      </c>
      <c r="N219" s="224">
        <f t="shared" si="68"/>
        <v>567.03272000000004</v>
      </c>
      <c r="O219" s="224">
        <f t="shared" si="69"/>
        <v>0</v>
      </c>
      <c r="P219" s="224">
        <f t="shared" si="70"/>
        <v>0</v>
      </c>
      <c r="Q219" s="205"/>
    </row>
    <row r="220" spans="1:17" hidden="1" outlineLevel="1">
      <c r="A220" s="211" t="s">
        <v>816</v>
      </c>
      <c r="B220" s="1346" t="s">
        <v>416</v>
      </c>
      <c r="C220" s="1332">
        <v>881</v>
      </c>
      <c r="D220" s="1313" t="s">
        <v>431</v>
      </c>
      <c r="E220" s="1347" t="s">
        <v>349</v>
      </c>
      <c r="F220" s="1313" t="s">
        <v>429</v>
      </c>
      <c r="G220" s="1348">
        <v>9.3490000000000004E-2</v>
      </c>
      <c r="H220" s="222">
        <f t="shared" si="57"/>
        <v>516</v>
      </c>
      <c r="I220" s="1354">
        <v>516</v>
      </c>
      <c r="J220" s="1354"/>
      <c r="K220" s="1354"/>
      <c r="L220" s="1347" t="s">
        <v>349</v>
      </c>
      <c r="M220" s="223">
        <f t="shared" si="67"/>
        <v>48.240839999999999</v>
      </c>
      <c r="N220" s="224">
        <f t="shared" si="68"/>
        <v>48.240839999999999</v>
      </c>
      <c r="O220" s="224">
        <f t="shared" si="69"/>
        <v>0</v>
      </c>
      <c r="P220" s="224">
        <f t="shared" si="70"/>
        <v>0</v>
      </c>
      <c r="Q220" s="205"/>
    </row>
    <row r="221" spans="1:17" hidden="1" outlineLevel="1">
      <c r="A221" s="211" t="s">
        <v>816</v>
      </c>
      <c r="B221" s="1346" t="s">
        <v>417</v>
      </c>
      <c r="C221" s="1332">
        <v>832</v>
      </c>
      <c r="D221" s="1313" t="s">
        <v>431</v>
      </c>
      <c r="E221" s="1347" t="s">
        <v>349</v>
      </c>
      <c r="F221" s="1313" t="s">
        <v>429</v>
      </c>
      <c r="G221" s="1348">
        <v>9.3490000000000004E-2</v>
      </c>
      <c r="H221" s="222">
        <f t="shared" si="57"/>
        <v>273</v>
      </c>
      <c r="I221" s="1354">
        <v>273</v>
      </c>
      <c r="J221" s="1354"/>
      <c r="K221" s="1354"/>
      <c r="L221" s="1347" t="s">
        <v>349</v>
      </c>
      <c r="M221" s="223">
        <f t="shared" si="66"/>
        <v>25.522770000000001</v>
      </c>
      <c r="N221" s="224">
        <f t="shared" si="59"/>
        <v>25.522770000000001</v>
      </c>
      <c r="O221" s="224">
        <f t="shared" si="60"/>
        <v>0</v>
      </c>
      <c r="P221" s="224">
        <f t="shared" si="61"/>
        <v>0</v>
      </c>
      <c r="Q221" s="205"/>
    </row>
    <row r="222" spans="1:17" hidden="1" outlineLevel="1">
      <c r="A222" s="211" t="s">
        <v>816</v>
      </c>
      <c r="B222" s="1346" t="s">
        <v>418</v>
      </c>
      <c r="C222" s="1332">
        <v>1138</v>
      </c>
      <c r="D222" s="1313" t="s">
        <v>431</v>
      </c>
      <c r="E222" s="1347" t="s">
        <v>349</v>
      </c>
      <c r="F222" s="1313" t="s">
        <v>430</v>
      </c>
      <c r="G222" s="1349">
        <v>9.9339999999999998E-2</v>
      </c>
      <c r="H222" s="222">
        <f t="shared" si="57"/>
        <v>7274</v>
      </c>
      <c r="I222" s="1354">
        <v>7274</v>
      </c>
      <c r="J222" s="1354"/>
      <c r="K222" s="1354"/>
      <c r="L222" s="1347" t="s">
        <v>349</v>
      </c>
      <c r="M222" s="223">
        <f t="shared" si="66"/>
        <v>722.59915999999998</v>
      </c>
      <c r="N222" s="224">
        <f t="shared" si="59"/>
        <v>722.59915999999998</v>
      </c>
      <c r="O222" s="224">
        <f t="shared" si="60"/>
        <v>0</v>
      </c>
      <c r="P222" s="224">
        <f t="shared" si="61"/>
        <v>0</v>
      </c>
      <c r="Q222" s="205"/>
    </row>
    <row r="223" spans="1:17" hidden="1" outlineLevel="1">
      <c r="A223" s="211" t="s">
        <v>816</v>
      </c>
      <c r="B223" s="1346" t="s">
        <v>419</v>
      </c>
      <c r="C223" s="1332">
        <v>1010</v>
      </c>
      <c r="D223" s="1313" t="s">
        <v>431</v>
      </c>
      <c r="E223" s="1347" t="s">
        <v>349</v>
      </c>
      <c r="F223" s="1313" t="s">
        <v>430</v>
      </c>
      <c r="G223" s="1349">
        <v>9.9339999999999998E-2</v>
      </c>
      <c r="H223" s="222">
        <f t="shared" si="57"/>
        <v>345</v>
      </c>
      <c r="I223" s="1354">
        <v>345</v>
      </c>
      <c r="J223" s="1354"/>
      <c r="K223" s="1354"/>
      <c r="L223" s="1347" t="s">
        <v>349</v>
      </c>
      <c r="M223" s="223">
        <f t="shared" si="66"/>
        <v>34.272300000000001</v>
      </c>
      <c r="N223" s="224">
        <f t="shared" si="59"/>
        <v>34.272300000000001</v>
      </c>
      <c r="O223" s="224">
        <f t="shared" si="60"/>
        <v>0</v>
      </c>
      <c r="P223" s="224">
        <f t="shared" si="61"/>
        <v>0</v>
      </c>
      <c r="Q223" s="205"/>
    </row>
    <row r="224" spans="1:17" hidden="1" outlineLevel="1">
      <c r="A224" s="211" t="s">
        <v>816</v>
      </c>
      <c r="B224" s="1346" t="s">
        <v>420</v>
      </c>
      <c r="C224" s="1332">
        <v>16476</v>
      </c>
      <c r="D224" s="1313" t="s">
        <v>431</v>
      </c>
      <c r="E224" s="1347" t="s">
        <v>349</v>
      </c>
      <c r="F224" s="1313" t="s">
        <v>430</v>
      </c>
      <c r="G224" s="1349">
        <v>9.9339999999999998E-2</v>
      </c>
      <c r="H224" s="222">
        <f t="shared" si="57"/>
        <v>931</v>
      </c>
      <c r="I224" s="1354">
        <v>931</v>
      </c>
      <c r="J224" s="1354"/>
      <c r="K224" s="1354"/>
      <c r="L224" s="1347" t="s">
        <v>349</v>
      </c>
      <c r="M224" s="223">
        <f t="shared" si="66"/>
        <v>92.48554</v>
      </c>
      <c r="N224" s="224">
        <f t="shared" si="59"/>
        <v>92.48554</v>
      </c>
      <c r="O224" s="224">
        <f t="shared" si="60"/>
        <v>0</v>
      </c>
      <c r="P224" s="224">
        <f t="shared" si="61"/>
        <v>0</v>
      </c>
      <c r="Q224" s="205"/>
    </row>
    <row r="225" spans="1:18" hidden="1" outlineLevel="1">
      <c r="A225" s="211" t="s">
        <v>816</v>
      </c>
      <c r="B225" s="1346" t="s">
        <v>602</v>
      </c>
      <c r="C225" s="1332">
        <v>965</v>
      </c>
      <c r="D225" s="1313" t="s">
        <v>431</v>
      </c>
      <c r="E225" s="1347" t="s">
        <v>349</v>
      </c>
      <c r="F225" s="1313" t="s">
        <v>429</v>
      </c>
      <c r="G225" s="1348">
        <v>9.3490000000000004E-2</v>
      </c>
      <c r="H225" s="222">
        <f t="shared" si="57"/>
        <v>2308</v>
      </c>
      <c r="I225" s="1354">
        <v>2308</v>
      </c>
      <c r="J225" s="1354"/>
      <c r="K225" s="1354"/>
      <c r="L225" s="1347" t="s">
        <v>349</v>
      </c>
      <c r="M225" s="223">
        <f t="shared" si="66"/>
        <v>215.77492000000001</v>
      </c>
      <c r="N225" s="224">
        <f t="shared" si="59"/>
        <v>215.77492000000001</v>
      </c>
      <c r="O225" s="224">
        <f t="shared" si="60"/>
        <v>0</v>
      </c>
      <c r="P225" s="224">
        <f t="shared" si="61"/>
        <v>0</v>
      </c>
      <c r="Q225" s="205"/>
    </row>
    <row r="226" spans="1:18" hidden="1" outlineLevel="1">
      <c r="A226" s="211" t="s">
        <v>816</v>
      </c>
      <c r="B226" s="1346" t="s">
        <v>603</v>
      </c>
      <c r="C226" s="1332">
        <v>968</v>
      </c>
      <c r="D226" s="1313" t="s">
        <v>431</v>
      </c>
      <c r="E226" s="1347" t="s">
        <v>349</v>
      </c>
      <c r="F226" s="1313" t="s">
        <v>429</v>
      </c>
      <c r="G226" s="1348">
        <v>9.3490000000000004E-2</v>
      </c>
      <c r="H226" s="222">
        <f t="shared" si="57"/>
        <v>1426</v>
      </c>
      <c r="I226" s="1354">
        <v>1426</v>
      </c>
      <c r="J226" s="1354"/>
      <c r="K226" s="1354"/>
      <c r="L226" s="1347" t="s">
        <v>349</v>
      </c>
      <c r="M226" s="223">
        <f t="shared" si="66"/>
        <v>133.31674000000001</v>
      </c>
      <c r="N226" s="224">
        <f t="shared" si="59"/>
        <v>133.31674000000001</v>
      </c>
      <c r="O226" s="224">
        <f t="shared" si="60"/>
        <v>0</v>
      </c>
      <c r="P226" s="224">
        <f t="shared" si="61"/>
        <v>0</v>
      </c>
      <c r="Q226" s="205"/>
    </row>
    <row r="227" spans="1:18" hidden="1" outlineLevel="1">
      <c r="A227" s="211" t="s">
        <v>816</v>
      </c>
      <c r="B227" s="1346" t="s">
        <v>421</v>
      </c>
      <c r="C227" s="1332">
        <v>964</v>
      </c>
      <c r="D227" s="1313" t="s">
        <v>431</v>
      </c>
      <c r="E227" s="1347" t="s">
        <v>349</v>
      </c>
      <c r="F227" s="1313" t="s">
        <v>429</v>
      </c>
      <c r="G227" s="1348">
        <v>9.3490000000000004E-2</v>
      </c>
      <c r="H227" s="222">
        <f t="shared" si="57"/>
        <v>125</v>
      </c>
      <c r="I227" s="1354">
        <v>125</v>
      </c>
      <c r="J227" s="1354"/>
      <c r="K227" s="1354"/>
      <c r="L227" s="1347" t="s">
        <v>349</v>
      </c>
      <c r="M227" s="223">
        <f t="shared" si="66"/>
        <v>11.686250000000001</v>
      </c>
      <c r="N227" s="224">
        <f t="shared" si="59"/>
        <v>11.686250000000001</v>
      </c>
      <c r="O227" s="224">
        <f t="shared" si="60"/>
        <v>0</v>
      </c>
      <c r="P227" s="224">
        <f t="shared" si="61"/>
        <v>0</v>
      </c>
      <c r="Q227" s="205"/>
    </row>
    <row r="228" spans="1:18" hidden="1" outlineLevel="1">
      <c r="A228" s="211" t="s">
        <v>816</v>
      </c>
      <c r="B228" s="1346" t="s">
        <v>422</v>
      </c>
      <c r="C228" s="1332">
        <v>16477</v>
      </c>
      <c r="D228" s="1313" t="s">
        <v>431</v>
      </c>
      <c r="E228" s="1347" t="s">
        <v>349</v>
      </c>
      <c r="F228" s="1313" t="s">
        <v>430</v>
      </c>
      <c r="G228" s="1349">
        <v>9.9339999999999998E-2</v>
      </c>
      <c r="H228" s="222">
        <f t="shared" si="57"/>
        <v>90</v>
      </c>
      <c r="I228" s="1354">
        <v>90</v>
      </c>
      <c r="J228" s="1354"/>
      <c r="K228" s="1354"/>
      <c r="L228" s="1347" t="s">
        <v>349</v>
      </c>
      <c r="M228" s="223">
        <f t="shared" si="66"/>
        <v>8.9405999999999999</v>
      </c>
      <c r="N228" s="224">
        <f t="shared" si="59"/>
        <v>8.9405999999999999</v>
      </c>
      <c r="O228" s="224">
        <f t="shared" si="60"/>
        <v>0</v>
      </c>
      <c r="P228" s="224">
        <f t="shared" si="61"/>
        <v>0</v>
      </c>
      <c r="Q228" s="205"/>
    </row>
    <row r="229" spans="1:18" hidden="1" outlineLevel="1">
      <c r="A229" s="211" t="s">
        <v>816</v>
      </c>
      <c r="B229" s="1346" t="s">
        <v>423</v>
      </c>
      <c r="C229" s="1332">
        <v>703</v>
      </c>
      <c r="D229" s="1313" t="s">
        <v>431</v>
      </c>
      <c r="E229" s="1347" t="s">
        <v>349</v>
      </c>
      <c r="F229" s="1313" t="s">
        <v>430</v>
      </c>
      <c r="G229" s="1349">
        <v>9.9339999999999998E-2</v>
      </c>
      <c r="H229" s="222">
        <f t="shared" si="57"/>
        <v>1984</v>
      </c>
      <c r="I229" s="1354">
        <v>1550</v>
      </c>
      <c r="J229" s="1354">
        <v>434</v>
      </c>
      <c r="K229" s="1354"/>
      <c r="L229" s="1347" t="s">
        <v>349</v>
      </c>
      <c r="M229" s="223">
        <f t="shared" si="66"/>
        <v>369.54480000000001</v>
      </c>
      <c r="N229" s="224">
        <f t="shared" si="59"/>
        <v>153.977</v>
      </c>
      <c r="O229" s="224">
        <f t="shared" si="60"/>
        <v>215.56780000000001</v>
      </c>
      <c r="P229" s="224">
        <f t="shared" si="61"/>
        <v>0</v>
      </c>
      <c r="Q229" s="205"/>
    </row>
    <row r="230" spans="1:18" hidden="1" outlineLevel="1">
      <c r="A230" s="225" t="s">
        <v>816</v>
      </c>
      <c r="B230" s="1350" t="s">
        <v>604</v>
      </c>
      <c r="C230" s="1336">
        <v>707</v>
      </c>
      <c r="D230" s="1321" t="s">
        <v>431</v>
      </c>
      <c r="E230" s="1351" t="s">
        <v>349</v>
      </c>
      <c r="F230" s="1321" t="s">
        <v>430</v>
      </c>
      <c r="G230" s="1352">
        <v>9.9339999999999998E-2</v>
      </c>
      <c r="H230" s="226">
        <f t="shared" si="57"/>
        <v>6488</v>
      </c>
      <c r="I230" s="1355">
        <v>6488</v>
      </c>
      <c r="J230" s="1355"/>
      <c r="K230" s="1355"/>
      <c r="L230" s="1351" t="s">
        <v>349</v>
      </c>
      <c r="M230" s="227">
        <f t="shared" si="66"/>
        <v>644.51792</v>
      </c>
      <c r="N230" s="228">
        <f t="shared" si="59"/>
        <v>644.51792</v>
      </c>
      <c r="O230" s="228">
        <f t="shared" si="60"/>
        <v>0</v>
      </c>
      <c r="P230" s="228">
        <f t="shared" si="61"/>
        <v>0</v>
      </c>
      <c r="Q230" s="230"/>
      <c r="R230" s="512">
        <f>SUM(M201:M230)</f>
        <v>11213.07992</v>
      </c>
    </row>
    <row r="231" spans="1:18" hidden="1" outlineLevel="1">
      <c r="A231" s="211" t="s">
        <v>816</v>
      </c>
      <c r="B231" s="1346" t="s">
        <v>408</v>
      </c>
      <c r="C231" s="1332">
        <v>841</v>
      </c>
      <c r="D231" s="1313" t="s">
        <v>432</v>
      </c>
      <c r="E231" s="1347" t="s">
        <v>349</v>
      </c>
      <c r="F231" s="1313" t="s">
        <v>429</v>
      </c>
      <c r="G231" s="1348">
        <v>9.3490000000000004E-2</v>
      </c>
      <c r="H231" s="222">
        <f t="shared" si="57"/>
        <v>285</v>
      </c>
      <c r="I231" s="1354">
        <v>285</v>
      </c>
      <c r="J231" s="1354"/>
      <c r="K231" s="1354"/>
      <c r="L231" s="1347" t="s">
        <v>349</v>
      </c>
      <c r="M231" s="223">
        <f t="shared" si="66"/>
        <v>26.644650000000002</v>
      </c>
      <c r="N231" s="224">
        <f t="shared" si="59"/>
        <v>26.644650000000002</v>
      </c>
      <c r="O231" s="224">
        <f t="shared" si="60"/>
        <v>0</v>
      </c>
      <c r="P231" s="224">
        <f t="shared" si="61"/>
        <v>0</v>
      </c>
      <c r="Q231" s="205"/>
    </row>
    <row r="232" spans="1:18" hidden="1" outlineLevel="1">
      <c r="A232" s="211" t="s">
        <v>816</v>
      </c>
      <c r="B232" s="1346" t="s">
        <v>409</v>
      </c>
      <c r="C232" s="1332">
        <v>21717</v>
      </c>
      <c r="D232" s="1313" t="s">
        <v>432</v>
      </c>
      <c r="E232" s="1347" t="s">
        <v>349</v>
      </c>
      <c r="F232" s="1313" t="s">
        <v>429</v>
      </c>
      <c r="G232" s="1348">
        <v>9.3490000000000004E-2</v>
      </c>
      <c r="H232" s="222">
        <f t="shared" si="57"/>
        <v>1051</v>
      </c>
      <c r="I232" s="1354">
        <v>1051</v>
      </c>
      <c r="J232" s="1354"/>
      <c r="K232" s="1354"/>
      <c r="L232" s="1347" t="s">
        <v>349</v>
      </c>
      <c r="M232" s="223">
        <f t="shared" ref="M232:M240" si="71">SUM(N232:P232)</f>
        <v>98.257990000000007</v>
      </c>
      <c r="N232" s="224">
        <f t="shared" ref="N232:N240" si="72">G232*I232</f>
        <v>98.257990000000007</v>
      </c>
      <c r="O232" s="224">
        <f t="shared" ref="O232:O240" si="73">G232*J232*5</f>
        <v>0</v>
      </c>
      <c r="P232" s="224">
        <f t="shared" ref="P232:P240" si="74">G232*K232*5</f>
        <v>0</v>
      </c>
      <c r="Q232" s="205"/>
    </row>
    <row r="233" spans="1:18" hidden="1" outlineLevel="1">
      <c r="A233" s="211" t="s">
        <v>816</v>
      </c>
      <c r="B233" s="1346" t="s">
        <v>410</v>
      </c>
      <c r="C233" s="1332">
        <v>749</v>
      </c>
      <c r="D233" s="1313" t="s">
        <v>432</v>
      </c>
      <c r="E233" s="1347" t="s">
        <v>349</v>
      </c>
      <c r="F233" s="1313" t="s">
        <v>430</v>
      </c>
      <c r="G233" s="1349">
        <v>9.9339999999999998E-2</v>
      </c>
      <c r="H233" s="222">
        <f t="shared" si="57"/>
        <v>9793</v>
      </c>
      <c r="I233" s="1354">
        <v>9000</v>
      </c>
      <c r="J233" s="1354">
        <v>793</v>
      </c>
      <c r="K233" s="1354"/>
      <c r="L233" s="1347" t="s">
        <v>349</v>
      </c>
      <c r="M233" s="223">
        <f t="shared" si="71"/>
        <v>1287.9431</v>
      </c>
      <c r="N233" s="224">
        <f t="shared" si="72"/>
        <v>894.06</v>
      </c>
      <c r="O233" s="224">
        <f t="shared" si="73"/>
        <v>393.88309999999996</v>
      </c>
      <c r="P233" s="224">
        <f t="shared" si="74"/>
        <v>0</v>
      </c>
      <c r="Q233" s="205"/>
    </row>
    <row r="234" spans="1:18" hidden="1" outlineLevel="1">
      <c r="A234" s="211" t="s">
        <v>816</v>
      </c>
      <c r="B234" s="1346" t="s">
        <v>411</v>
      </c>
      <c r="C234" s="1332">
        <v>20044</v>
      </c>
      <c r="D234" s="1313" t="s">
        <v>432</v>
      </c>
      <c r="E234" s="1347" t="s">
        <v>349</v>
      </c>
      <c r="F234" s="1313" t="s">
        <v>430</v>
      </c>
      <c r="G234" s="1349">
        <v>9.9339999999999998E-2</v>
      </c>
      <c r="H234" s="222">
        <f t="shared" si="57"/>
        <v>2147</v>
      </c>
      <c r="I234" s="1354">
        <v>2147</v>
      </c>
      <c r="J234" s="1354"/>
      <c r="K234" s="1354"/>
      <c r="L234" s="1347" t="s">
        <v>349</v>
      </c>
      <c r="M234" s="223">
        <f t="shared" si="71"/>
        <v>213.28298000000001</v>
      </c>
      <c r="N234" s="224">
        <f t="shared" si="72"/>
        <v>213.28298000000001</v>
      </c>
      <c r="O234" s="224">
        <f t="shared" si="73"/>
        <v>0</v>
      </c>
      <c r="P234" s="224">
        <f t="shared" si="74"/>
        <v>0</v>
      </c>
      <c r="Q234" s="205"/>
    </row>
    <row r="235" spans="1:18" hidden="1" outlineLevel="1">
      <c r="A235" s="211" t="s">
        <v>816</v>
      </c>
      <c r="B235" s="1346" t="s">
        <v>412</v>
      </c>
      <c r="C235" s="1332">
        <v>15141</v>
      </c>
      <c r="D235" s="1313" t="s">
        <v>432</v>
      </c>
      <c r="E235" s="1347" t="s">
        <v>349</v>
      </c>
      <c r="F235" s="1313" t="s">
        <v>429</v>
      </c>
      <c r="G235" s="1348">
        <v>9.3490000000000004E-2</v>
      </c>
      <c r="H235" s="222">
        <f t="shared" si="57"/>
        <v>9</v>
      </c>
      <c r="I235" s="1354">
        <v>9</v>
      </c>
      <c r="J235" s="1354"/>
      <c r="K235" s="1354"/>
      <c r="L235" s="1347" t="s">
        <v>349</v>
      </c>
      <c r="M235" s="223">
        <f t="shared" si="71"/>
        <v>0.84140999999999999</v>
      </c>
      <c r="N235" s="224">
        <f t="shared" si="72"/>
        <v>0.84140999999999999</v>
      </c>
      <c r="O235" s="224">
        <f t="shared" si="73"/>
        <v>0</v>
      </c>
      <c r="P235" s="224">
        <f t="shared" si="74"/>
        <v>0</v>
      </c>
      <c r="Q235" s="205"/>
    </row>
    <row r="236" spans="1:18" hidden="1" outlineLevel="1">
      <c r="A236" s="211" t="s">
        <v>816</v>
      </c>
      <c r="B236" s="1346" t="s">
        <v>413</v>
      </c>
      <c r="C236" s="1332">
        <v>16904</v>
      </c>
      <c r="D236" s="1313" t="s">
        <v>432</v>
      </c>
      <c r="E236" s="1347" t="s">
        <v>349</v>
      </c>
      <c r="F236" s="1313" t="s">
        <v>430</v>
      </c>
      <c r="G236" s="1349">
        <v>9.9339999999999998E-2</v>
      </c>
      <c r="H236" s="222">
        <f t="shared" si="57"/>
        <v>1892</v>
      </c>
      <c r="I236" s="1354">
        <v>1892</v>
      </c>
      <c r="J236" s="1354"/>
      <c r="K236" s="1354"/>
      <c r="L236" s="1347" t="s">
        <v>349</v>
      </c>
      <c r="M236" s="223">
        <f t="shared" si="71"/>
        <v>187.95128</v>
      </c>
      <c r="N236" s="224">
        <f t="shared" si="72"/>
        <v>187.95128</v>
      </c>
      <c r="O236" s="224">
        <f t="shared" si="73"/>
        <v>0</v>
      </c>
      <c r="P236" s="224">
        <f t="shared" si="74"/>
        <v>0</v>
      </c>
      <c r="Q236" s="205"/>
    </row>
    <row r="237" spans="1:18" hidden="1" outlineLevel="1">
      <c r="A237" s="211" t="s">
        <v>816</v>
      </c>
      <c r="B237" s="1346" t="s">
        <v>610</v>
      </c>
      <c r="C237" s="1332">
        <v>892</v>
      </c>
      <c r="D237" s="1313" t="s">
        <v>432</v>
      </c>
      <c r="E237" s="1347" t="s">
        <v>349</v>
      </c>
      <c r="F237" s="1313" t="s">
        <v>429</v>
      </c>
      <c r="G237" s="1348">
        <v>9.3490000000000004E-2</v>
      </c>
      <c r="H237" s="222">
        <f t="shared" si="57"/>
        <v>6856</v>
      </c>
      <c r="I237" s="1354">
        <v>6856</v>
      </c>
      <c r="J237" s="1354"/>
      <c r="K237" s="1354"/>
      <c r="L237" s="1347" t="s">
        <v>349</v>
      </c>
      <c r="M237" s="223">
        <f t="shared" si="71"/>
        <v>640.96744000000001</v>
      </c>
      <c r="N237" s="224">
        <f t="shared" si="72"/>
        <v>640.96744000000001</v>
      </c>
      <c r="O237" s="224">
        <f t="shared" si="73"/>
        <v>0</v>
      </c>
      <c r="P237" s="224">
        <f t="shared" si="74"/>
        <v>0</v>
      </c>
      <c r="Q237" s="205"/>
    </row>
    <row r="238" spans="1:18" hidden="1" outlineLevel="1">
      <c r="A238" s="211" t="s">
        <v>816</v>
      </c>
      <c r="B238" s="1346" t="s">
        <v>605</v>
      </c>
      <c r="C238" s="1332">
        <v>891</v>
      </c>
      <c r="D238" s="1313" t="s">
        <v>432</v>
      </c>
      <c r="E238" s="1347" t="s">
        <v>349</v>
      </c>
      <c r="F238" s="1313" t="s">
        <v>429</v>
      </c>
      <c r="G238" s="1348">
        <v>9.3490000000000004E-2</v>
      </c>
      <c r="H238" s="222">
        <f t="shared" si="57"/>
        <v>1393</v>
      </c>
      <c r="I238" s="1354">
        <v>1393</v>
      </c>
      <c r="J238" s="1354"/>
      <c r="K238" s="1354"/>
      <c r="L238" s="1347" t="s">
        <v>349</v>
      </c>
      <c r="M238" s="223">
        <f t="shared" si="71"/>
        <v>130.23157</v>
      </c>
      <c r="N238" s="224">
        <f t="shared" si="72"/>
        <v>130.23157</v>
      </c>
      <c r="O238" s="224">
        <f t="shared" si="73"/>
        <v>0</v>
      </c>
      <c r="P238" s="224">
        <f t="shared" si="74"/>
        <v>0</v>
      </c>
      <c r="Q238" s="205"/>
    </row>
    <row r="239" spans="1:18" hidden="1" outlineLevel="1">
      <c r="A239" s="211" t="s">
        <v>816</v>
      </c>
      <c r="B239" s="1346" t="s">
        <v>611</v>
      </c>
      <c r="C239" s="1332">
        <v>708</v>
      </c>
      <c r="D239" s="1313" t="s">
        <v>432</v>
      </c>
      <c r="E239" s="1347" t="s">
        <v>349</v>
      </c>
      <c r="F239" s="1313" t="s">
        <v>430</v>
      </c>
      <c r="G239" s="1349">
        <v>9.9339999999999998E-2</v>
      </c>
      <c r="H239" s="222">
        <f t="shared" si="57"/>
        <v>0</v>
      </c>
      <c r="I239" s="1354">
        <v>0</v>
      </c>
      <c r="J239" s="1354"/>
      <c r="K239" s="1354"/>
      <c r="L239" s="1347" t="s">
        <v>349</v>
      </c>
      <c r="M239" s="223">
        <f t="shared" si="71"/>
        <v>0</v>
      </c>
      <c r="N239" s="224">
        <f t="shared" si="72"/>
        <v>0</v>
      </c>
      <c r="O239" s="224">
        <f t="shared" si="73"/>
        <v>0</v>
      </c>
      <c r="P239" s="224">
        <f t="shared" si="74"/>
        <v>0</v>
      </c>
      <c r="Q239" s="205"/>
    </row>
    <row r="240" spans="1:18" hidden="1" outlineLevel="1">
      <c r="A240" s="211" t="s">
        <v>816</v>
      </c>
      <c r="B240" s="1346" t="s">
        <v>414</v>
      </c>
      <c r="C240" s="1332">
        <v>16757</v>
      </c>
      <c r="D240" s="1313" t="s">
        <v>432</v>
      </c>
      <c r="E240" s="1347" t="s">
        <v>349</v>
      </c>
      <c r="F240" s="1313" t="s">
        <v>429</v>
      </c>
      <c r="G240" s="1348">
        <v>9.3490000000000004E-2</v>
      </c>
      <c r="H240" s="222">
        <f t="shared" si="57"/>
        <v>1180</v>
      </c>
      <c r="I240" s="1354">
        <v>1180</v>
      </c>
      <c r="J240" s="1354"/>
      <c r="K240" s="1354"/>
      <c r="L240" s="1347" t="s">
        <v>349</v>
      </c>
      <c r="M240" s="223">
        <f t="shared" si="71"/>
        <v>110.3182</v>
      </c>
      <c r="N240" s="224">
        <f t="shared" si="72"/>
        <v>110.3182</v>
      </c>
      <c r="O240" s="224">
        <f t="shared" si="73"/>
        <v>0</v>
      </c>
      <c r="P240" s="224">
        <f t="shared" si="74"/>
        <v>0</v>
      </c>
      <c r="Q240" s="205"/>
    </row>
    <row r="241" spans="1:17" hidden="1" outlineLevel="1">
      <c r="A241" s="211" t="s">
        <v>816</v>
      </c>
      <c r="B241" s="1346" t="s">
        <v>596</v>
      </c>
      <c r="C241" s="1332">
        <v>878</v>
      </c>
      <c r="D241" s="1313" t="s">
        <v>432</v>
      </c>
      <c r="E241" s="1347" t="s">
        <v>349</v>
      </c>
      <c r="F241" s="1313" t="s">
        <v>429</v>
      </c>
      <c r="G241" s="1348">
        <v>9.3490000000000004E-2</v>
      </c>
      <c r="H241" s="222">
        <f t="shared" si="57"/>
        <v>878</v>
      </c>
      <c r="I241" s="1354">
        <v>878</v>
      </c>
      <c r="J241" s="1354"/>
      <c r="K241" s="1354"/>
      <c r="L241" s="1347" t="s">
        <v>349</v>
      </c>
      <c r="M241" s="223">
        <f t="shared" si="66"/>
        <v>82.084220000000002</v>
      </c>
      <c r="N241" s="224">
        <f t="shared" si="59"/>
        <v>82.084220000000002</v>
      </c>
      <c r="O241" s="224">
        <f t="shared" si="60"/>
        <v>0</v>
      </c>
      <c r="P241" s="224">
        <f t="shared" si="61"/>
        <v>0</v>
      </c>
      <c r="Q241" s="205"/>
    </row>
    <row r="242" spans="1:17" hidden="1" outlineLevel="1">
      <c r="A242" s="211" t="s">
        <v>816</v>
      </c>
      <c r="B242" s="1346" t="s">
        <v>597</v>
      </c>
      <c r="C242" s="1332">
        <v>879</v>
      </c>
      <c r="D242" s="1313" t="s">
        <v>432</v>
      </c>
      <c r="E242" s="1347" t="s">
        <v>349</v>
      </c>
      <c r="F242" s="1313" t="s">
        <v>429</v>
      </c>
      <c r="G242" s="1348">
        <v>9.3490000000000004E-2</v>
      </c>
      <c r="H242" s="222">
        <f t="shared" si="57"/>
        <v>9118</v>
      </c>
      <c r="I242" s="1354">
        <v>9118</v>
      </c>
      <c r="J242" s="1354"/>
      <c r="K242" s="1354"/>
      <c r="L242" s="1347" t="s">
        <v>349</v>
      </c>
      <c r="M242" s="223">
        <f t="shared" si="66"/>
        <v>852.44182000000001</v>
      </c>
      <c r="N242" s="224">
        <f t="shared" si="59"/>
        <v>852.44182000000001</v>
      </c>
      <c r="O242" s="224">
        <f t="shared" si="60"/>
        <v>0</v>
      </c>
      <c r="P242" s="224">
        <f t="shared" si="61"/>
        <v>0</v>
      </c>
      <c r="Q242" s="205"/>
    </row>
    <row r="243" spans="1:17" hidden="1" outlineLevel="1">
      <c r="A243" s="211" t="s">
        <v>816</v>
      </c>
      <c r="B243" s="1346" t="s">
        <v>612</v>
      </c>
      <c r="C243" s="1332">
        <v>14114</v>
      </c>
      <c r="D243" s="1313" t="s">
        <v>432</v>
      </c>
      <c r="E243" s="1347" t="s">
        <v>349</v>
      </c>
      <c r="F243" s="1313" t="s">
        <v>430</v>
      </c>
      <c r="G243" s="1349">
        <v>9.9339999999999998E-2</v>
      </c>
      <c r="H243" s="222">
        <f t="shared" si="57"/>
        <v>5916</v>
      </c>
      <c r="I243" s="1354">
        <v>5916</v>
      </c>
      <c r="J243" s="1354"/>
      <c r="K243" s="1354"/>
      <c r="L243" s="1347" t="s">
        <v>349</v>
      </c>
      <c r="M243" s="223">
        <f t="shared" si="66"/>
        <v>587.69543999999996</v>
      </c>
      <c r="N243" s="224">
        <f t="shared" si="59"/>
        <v>587.69543999999996</v>
      </c>
      <c r="O243" s="224">
        <f t="shared" si="60"/>
        <v>0</v>
      </c>
      <c r="P243" s="224">
        <f t="shared" si="61"/>
        <v>0</v>
      </c>
      <c r="Q243" s="205"/>
    </row>
    <row r="244" spans="1:17" hidden="1" outlineLevel="1">
      <c r="A244" s="211" t="s">
        <v>816</v>
      </c>
      <c r="B244" s="1346" t="s">
        <v>598</v>
      </c>
      <c r="C244" s="1332">
        <v>880</v>
      </c>
      <c r="D244" s="1313" t="s">
        <v>432</v>
      </c>
      <c r="E244" s="1347" t="s">
        <v>349</v>
      </c>
      <c r="F244" s="1313" t="s">
        <v>429</v>
      </c>
      <c r="G244" s="1348">
        <v>9.3490000000000004E-2</v>
      </c>
      <c r="H244" s="222">
        <f t="shared" si="57"/>
        <v>6631</v>
      </c>
      <c r="I244" s="1354">
        <v>6631</v>
      </c>
      <c r="J244" s="1354"/>
      <c r="K244" s="1354"/>
      <c r="L244" s="1347" t="s">
        <v>349</v>
      </c>
      <c r="M244" s="223">
        <f t="shared" si="66"/>
        <v>619.93218999999999</v>
      </c>
      <c r="N244" s="224">
        <f t="shared" si="59"/>
        <v>619.93218999999999</v>
      </c>
      <c r="O244" s="224">
        <f t="shared" si="60"/>
        <v>0</v>
      </c>
      <c r="P244" s="224">
        <f t="shared" si="61"/>
        <v>0</v>
      </c>
      <c r="Q244" s="205"/>
    </row>
    <row r="245" spans="1:17" hidden="1" outlineLevel="1">
      <c r="A245" s="211" t="s">
        <v>816</v>
      </c>
      <c r="B245" s="1346" t="s">
        <v>613</v>
      </c>
      <c r="C245" s="1332">
        <v>4650</v>
      </c>
      <c r="D245" s="1313" t="s">
        <v>432</v>
      </c>
      <c r="E245" s="1347" t="s">
        <v>349</v>
      </c>
      <c r="F245" s="1313" t="s">
        <v>429</v>
      </c>
      <c r="G245" s="1348">
        <v>9.3490000000000004E-2</v>
      </c>
      <c r="H245" s="222">
        <f t="shared" si="57"/>
        <v>7997</v>
      </c>
      <c r="I245" s="1354">
        <v>7997</v>
      </c>
      <c r="J245" s="1354"/>
      <c r="K245" s="1354"/>
      <c r="L245" s="1347" t="s">
        <v>349</v>
      </c>
      <c r="M245" s="223">
        <f t="shared" si="66"/>
        <v>747.63953000000004</v>
      </c>
      <c r="N245" s="224">
        <f t="shared" si="59"/>
        <v>747.63953000000004</v>
      </c>
      <c r="O245" s="224">
        <f t="shared" si="60"/>
        <v>0</v>
      </c>
      <c r="P245" s="224">
        <f t="shared" si="61"/>
        <v>0</v>
      </c>
      <c r="Q245" s="205"/>
    </row>
    <row r="246" spans="1:17" hidden="1" outlineLevel="1">
      <c r="A246" s="211" t="s">
        <v>816</v>
      </c>
      <c r="B246" s="1346" t="s">
        <v>614</v>
      </c>
      <c r="C246" s="1332">
        <v>14114</v>
      </c>
      <c r="D246" s="1313" t="s">
        <v>432</v>
      </c>
      <c r="E246" s="1347" t="s">
        <v>349</v>
      </c>
      <c r="F246" s="1313" t="s">
        <v>430</v>
      </c>
      <c r="G246" s="1349">
        <v>0.17876</v>
      </c>
      <c r="H246" s="222">
        <f t="shared" si="57"/>
        <v>6523</v>
      </c>
      <c r="I246" s="1354">
        <v>6523</v>
      </c>
      <c r="J246" s="1354"/>
      <c r="K246" s="1354"/>
      <c r="L246" s="1347" t="s">
        <v>349</v>
      </c>
      <c r="M246" s="223">
        <f t="shared" si="66"/>
        <v>1166.0514800000001</v>
      </c>
      <c r="N246" s="224">
        <f t="shared" si="59"/>
        <v>1166.0514800000001</v>
      </c>
      <c r="O246" s="224">
        <f t="shared" si="60"/>
        <v>0</v>
      </c>
      <c r="P246" s="224">
        <f t="shared" si="61"/>
        <v>0</v>
      </c>
      <c r="Q246" s="205"/>
    </row>
    <row r="247" spans="1:17" hidden="1" outlineLevel="1">
      <c r="A247" s="211" t="s">
        <v>816</v>
      </c>
      <c r="B247" s="1346" t="s">
        <v>615</v>
      </c>
      <c r="C247" s="1332">
        <v>969</v>
      </c>
      <c r="D247" s="1313" t="s">
        <v>432</v>
      </c>
      <c r="E247" s="1347" t="s">
        <v>349</v>
      </c>
      <c r="F247" s="1313" t="s">
        <v>429</v>
      </c>
      <c r="G247" s="1348">
        <v>9.3490000000000004E-2</v>
      </c>
      <c r="H247" s="222">
        <f t="shared" si="57"/>
        <v>10032</v>
      </c>
      <c r="I247" s="1354">
        <v>10032</v>
      </c>
      <c r="J247" s="1354"/>
      <c r="K247" s="1354"/>
      <c r="L247" s="1347" t="s">
        <v>349</v>
      </c>
      <c r="M247" s="223">
        <f t="shared" si="66"/>
        <v>937.89168000000006</v>
      </c>
      <c r="N247" s="224">
        <f t="shared" si="59"/>
        <v>937.89168000000006</v>
      </c>
      <c r="O247" s="224">
        <f t="shared" si="60"/>
        <v>0</v>
      </c>
      <c r="P247" s="224">
        <f t="shared" si="61"/>
        <v>0</v>
      </c>
      <c r="Q247" s="205"/>
    </row>
    <row r="248" spans="1:17" hidden="1" outlineLevel="1">
      <c r="A248" s="211" t="s">
        <v>816</v>
      </c>
      <c r="B248" s="1346" t="s">
        <v>616</v>
      </c>
      <c r="C248" s="1332">
        <v>1003</v>
      </c>
      <c r="D248" s="1313" t="s">
        <v>432</v>
      </c>
      <c r="E248" s="1347" t="s">
        <v>349</v>
      </c>
      <c r="F248" s="1313" t="s">
        <v>430</v>
      </c>
      <c r="G248" s="1349">
        <v>9.9339999999999998E-2</v>
      </c>
      <c r="H248" s="222">
        <f t="shared" si="57"/>
        <v>6870</v>
      </c>
      <c r="I248" s="1354">
        <v>6870</v>
      </c>
      <c r="J248" s="1354"/>
      <c r="K248" s="1354"/>
      <c r="L248" s="1347" t="s">
        <v>349</v>
      </c>
      <c r="M248" s="223">
        <f t="shared" si="66"/>
        <v>682.46579999999994</v>
      </c>
      <c r="N248" s="224">
        <f t="shared" si="59"/>
        <v>682.46579999999994</v>
      </c>
      <c r="O248" s="224">
        <f t="shared" si="60"/>
        <v>0</v>
      </c>
      <c r="P248" s="224">
        <f t="shared" si="61"/>
        <v>0</v>
      </c>
      <c r="Q248" s="205"/>
    </row>
    <row r="249" spans="1:17" hidden="1" outlineLevel="1">
      <c r="A249" s="211" t="s">
        <v>816</v>
      </c>
      <c r="B249" s="1346" t="s">
        <v>416</v>
      </c>
      <c r="C249" s="1332">
        <v>881</v>
      </c>
      <c r="D249" s="1313" t="s">
        <v>432</v>
      </c>
      <c r="E249" s="1347" t="s">
        <v>349</v>
      </c>
      <c r="F249" s="1313" t="s">
        <v>429</v>
      </c>
      <c r="G249" s="1348">
        <v>9.3490000000000004E-2</v>
      </c>
      <c r="H249" s="222">
        <f t="shared" si="57"/>
        <v>604</v>
      </c>
      <c r="I249" s="1354">
        <v>604</v>
      </c>
      <c r="J249" s="1354"/>
      <c r="K249" s="1354"/>
      <c r="L249" s="1347" t="s">
        <v>349</v>
      </c>
      <c r="M249" s="223">
        <f t="shared" si="66"/>
        <v>56.467960000000005</v>
      </c>
      <c r="N249" s="224">
        <f t="shared" si="59"/>
        <v>56.467960000000005</v>
      </c>
      <c r="O249" s="224">
        <f t="shared" si="60"/>
        <v>0</v>
      </c>
      <c r="P249" s="224">
        <f t="shared" si="61"/>
        <v>0</v>
      </c>
      <c r="Q249" s="205"/>
    </row>
    <row r="250" spans="1:17" hidden="1" outlineLevel="1">
      <c r="A250" s="211" t="s">
        <v>816</v>
      </c>
      <c r="B250" s="1346" t="s">
        <v>417</v>
      </c>
      <c r="C250" s="1332">
        <v>832</v>
      </c>
      <c r="D250" s="1313" t="s">
        <v>432</v>
      </c>
      <c r="E250" s="1347" t="s">
        <v>349</v>
      </c>
      <c r="F250" s="1313" t="s">
        <v>429</v>
      </c>
      <c r="G250" s="1348">
        <v>9.3490000000000004E-2</v>
      </c>
      <c r="H250" s="222">
        <f t="shared" si="57"/>
        <v>290</v>
      </c>
      <c r="I250" s="1354">
        <v>290</v>
      </c>
      <c r="J250" s="1354"/>
      <c r="K250" s="1354"/>
      <c r="L250" s="1347" t="s">
        <v>349</v>
      </c>
      <c r="M250" s="223">
        <f t="shared" si="66"/>
        <v>27.112100000000002</v>
      </c>
      <c r="N250" s="224">
        <f t="shared" si="59"/>
        <v>27.112100000000002</v>
      </c>
      <c r="O250" s="224">
        <f t="shared" si="60"/>
        <v>0</v>
      </c>
      <c r="P250" s="224">
        <f t="shared" si="61"/>
        <v>0</v>
      </c>
      <c r="Q250" s="205"/>
    </row>
    <row r="251" spans="1:17" hidden="1" outlineLevel="1">
      <c r="A251" s="211" t="s">
        <v>816</v>
      </c>
      <c r="B251" s="1346" t="s">
        <v>418</v>
      </c>
      <c r="C251" s="1332">
        <v>1138</v>
      </c>
      <c r="D251" s="1313" t="s">
        <v>432</v>
      </c>
      <c r="E251" s="1347" t="s">
        <v>349</v>
      </c>
      <c r="F251" s="1313" t="s">
        <v>430</v>
      </c>
      <c r="G251" s="1349">
        <v>9.9339999999999998E-2</v>
      </c>
      <c r="H251" s="222">
        <f t="shared" si="57"/>
        <v>8756</v>
      </c>
      <c r="I251" s="1354">
        <v>8756</v>
      </c>
      <c r="J251" s="1354"/>
      <c r="K251" s="1354"/>
      <c r="L251" s="1347" t="s">
        <v>349</v>
      </c>
      <c r="M251" s="223">
        <f t="shared" si="66"/>
        <v>869.82103999999993</v>
      </c>
      <c r="N251" s="224">
        <f t="shared" si="59"/>
        <v>869.82103999999993</v>
      </c>
      <c r="O251" s="224">
        <f t="shared" si="60"/>
        <v>0</v>
      </c>
      <c r="P251" s="224">
        <f t="shared" si="61"/>
        <v>0</v>
      </c>
      <c r="Q251" s="205"/>
    </row>
    <row r="252" spans="1:17" hidden="1" outlineLevel="1">
      <c r="A252" s="211" t="s">
        <v>816</v>
      </c>
      <c r="B252" s="1346" t="s">
        <v>419</v>
      </c>
      <c r="C252" s="1332">
        <v>1010</v>
      </c>
      <c r="D252" s="1313" t="s">
        <v>432</v>
      </c>
      <c r="E252" s="1347" t="s">
        <v>349</v>
      </c>
      <c r="F252" s="1313" t="s">
        <v>430</v>
      </c>
      <c r="G252" s="1349">
        <v>9.9339999999999998E-2</v>
      </c>
      <c r="H252" s="222">
        <f t="shared" si="57"/>
        <v>341</v>
      </c>
      <c r="I252" s="1354">
        <v>341</v>
      </c>
      <c r="J252" s="1354"/>
      <c r="K252" s="1354"/>
      <c r="L252" s="1347" t="s">
        <v>349</v>
      </c>
      <c r="M252" s="223">
        <f t="shared" si="66"/>
        <v>33.874940000000002</v>
      </c>
      <c r="N252" s="224">
        <f t="shared" si="59"/>
        <v>33.874940000000002</v>
      </c>
      <c r="O252" s="224">
        <f t="shared" si="60"/>
        <v>0</v>
      </c>
      <c r="P252" s="224">
        <f t="shared" si="61"/>
        <v>0</v>
      </c>
      <c r="Q252" s="205"/>
    </row>
    <row r="253" spans="1:17" hidden="1" outlineLevel="1">
      <c r="A253" s="211" t="s">
        <v>816</v>
      </c>
      <c r="B253" s="1346" t="s">
        <v>420</v>
      </c>
      <c r="C253" s="1332">
        <v>16476</v>
      </c>
      <c r="D253" s="1313" t="s">
        <v>432</v>
      </c>
      <c r="E253" s="1347" t="s">
        <v>349</v>
      </c>
      <c r="F253" s="1313" t="s">
        <v>430</v>
      </c>
      <c r="G253" s="1349">
        <v>9.9339999999999998E-2</v>
      </c>
      <c r="H253" s="222">
        <f t="shared" si="57"/>
        <v>1048</v>
      </c>
      <c r="I253" s="1354">
        <v>1048</v>
      </c>
      <c r="J253" s="1354"/>
      <c r="K253" s="1354"/>
      <c r="L253" s="1347" t="s">
        <v>349</v>
      </c>
      <c r="M253" s="223">
        <f t="shared" si="66"/>
        <v>104.10831999999999</v>
      </c>
      <c r="N253" s="224">
        <f t="shared" si="59"/>
        <v>104.10831999999999</v>
      </c>
      <c r="O253" s="224">
        <f t="shared" si="60"/>
        <v>0</v>
      </c>
      <c r="P253" s="224">
        <f t="shared" si="61"/>
        <v>0</v>
      </c>
      <c r="Q253" s="205"/>
    </row>
    <row r="254" spans="1:17" hidden="1" outlineLevel="1">
      <c r="A254" s="211" t="s">
        <v>816</v>
      </c>
      <c r="B254" s="1346" t="s">
        <v>602</v>
      </c>
      <c r="C254" s="1332">
        <v>965</v>
      </c>
      <c r="D254" s="1313" t="s">
        <v>432</v>
      </c>
      <c r="E254" s="1347" t="s">
        <v>349</v>
      </c>
      <c r="F254" s="1313" t="s">
        <v>429</v>
      </c>
      <c r="G254" s="1348">
        <v>9.3490000000000004E-2</v>
      </c>
      <c r="H254" s="222">
        <f t="shared" si="57"/>
        <v>1683</v>
      </c>
      <c r="I254" s="1354">
        <v>1683</v>
      </c>
      <c r="J254" s="1354"/>
      <c r="K254" s="1354"/>
      <c r="L254" s="1347" t="s">
        <v>349</v>
      </c>
      <c r="M254" s="223">
        <f t="shared" si="66"/>
        <v>157.34367</v>
      </c>
      <c r="N254" s="224">
        <f t="shared" si="59"/>
        <v>157.34367</v>
      </c>
      <c r="O254" s="224">
        <f t="shared" si="60"/>
        <v>0</v>
      </c>
      <c r="P254" s="224">
        <f t="shared" si="61"/>
        <v>0</v>
      </c>
      <c r="Q254" s="205"/>
    </row>
    <row r="255" spans="1:17" hidden="1" outlineLevel="1">
      <c r="A255" s="211" t="s">
        <v>816</v>
      </c>
      <c r="B255" s="1346" t="s">
        <v>603</v>
      </c>
      <c r="C255" s="1332">
        <v>968</v>
      </c>
      <c r="D255" s="1313" t="s">
        <v>432</v>
      </c>
      <c r="E255" s="1347" t="s">
        <v>349</v>
      </c>
      <c r="F255" s="1313" t="s">
        <v>429</v>
      </c>
      <c r="G255" s="1348">
        <v>9.3490000000000004E-2</v>
      </c>
      <c r="H255" s="222">
        <f t="shared" si="57"/>
        <v>1660</v>
      </c>
      <c r="I255" s="1354">
        <v>1660</v>
      </c>
      <c r="J255" s="1354"/>
      <c r="K255" s="1354"/>
      <c r="L255" s="1347" t="s">
        <v>349</v>
      </c>
      <c r="M255" s="223">
        <f t="shared" si="66"/>
        <v>155.1934</v>
      </c>
      <c r="N255" s="224">
        <f t="shared" si="59"/>
        <v>155.1934</v>
      </c>
      <c r="O255" s="224">
        <f t="shared" si="60"/>
        <v>0</v>
      </c>
      <c r="P255" s="224">
        <f t="shared" si="61"/>
        <v>0</v>
      </c>
      <c r="Q255" s="205"/>
    </row>
    <row r="256" spans="1:17" hidden="1" outlineLevel="1">
      <c r="A256" s="211" t="s">
        <v>816</v>
      </c>
      <c r="B256" s="1346" t="s">
        <v>421</v>
      </c>
      <c r="C256" s="1332">
        <v>964</v>
      </c>
      <c r="D256" s="1313" t="s">
        <v>432</v>
      </c>
      <c r="E256" s="1347" t="s">
        <v>349</v>
      </c>
      <c r="F256" s="1313" t="s">
        <v>429</v>
      </c>
      <c r="G256" s="1348">
        <v>9.3490000000000004E-2</v>
      </c>
      <c r="H256" s="222">
        <f t="shared" si="57"/>
        <v>146</v>
      </c>
      <c r="I256" s="1354">
        <v>146</v>
      </c>
      <c r="J256" s="1354"/>
      <c r="K256" s="1354"/>
      <c r="L256" s="1347" t="s">
        <v>349</v>
      </c>
      <c r="M256" s="223">
        <f t="shared" si="66"/>
        <v>13.64954</v>
      </c>
      <c r="N256" s="224">
        <f t="shared" si="59"/>
        <v>13.64954</v>
      </c>
      <c r="O256" s="224">
        <f t="shared" si="60"/>
        <v>0</v>
      </c>
      <c r="P256" s="224">
        <f t="shared" si="61"/>
        <v>0</v>
      </c>
      <c r="Q256" s="205"/>
    </row>
    <row r="257" spans="1:18" hidden="1" outlineLevel="1">
      <c r="A257" s="211" t="s">
        <v>816</v>
      </c>
      <c r="B257" s="1346" t="s">
        <v>422</v>
      </c>
      <c r="C257" s="1332">
        <v>16477</v>
      </c>
      <c r="D257" s="1313" t="s">
        <v>432</v>
      </c>
      <c r="E257" s="1347" t="s">
        <v>349</v>
      </c>
      <c r="F257" s="1313" t="s">
        <v>430</v>
      </c>
      <c r="G257" s="1349">
        <v>9.9339999999999998E-2</v>
      </c>
      <c r="H257" s="222">
        <f t="shared" si="57"/>
        <v>86</v>
      </c>
      <c r="I257" s="1354">
        <v>86</v>
      </c>
      <c r="J257" s="1354"/>
      <c r="K257" s="1354"/>
      <c r="L257" s="1347" t="s">
        <v>349</v>
      </c>
      <c r="M257" s="223">
        <f t="shared" si="66"/>
        <v>8.5432399999999991</v>
      </c>
      <c r="N257" s="224">
        <f t="shared" si="59"/>
        <v>8.5432399999999991</v>
      </c>
      <c r="O257" s="224">
        <f t="shared" si="60"/>
        <v>0</v>
      </c>
      <c r="P257" s="224">
        <f t="shared" si="61"/>
        <v>0</v>
      </c>
      <c r="Q257" s="205"/>
    </row>
    <row r="258" spans="1:18" hidden="1" outlineLevel="1">
      <c r="A258" s="211" t="s">
        <v>816</v>
      </c>
      <c r="B258" s="1346" t="s">
        <v>423</v>
      </c>
      <c r="C258" s="1332">
        <v>703</v>
      </c>
      <c r="D258" s="1313" t="s">
        <v>432</v>
      </c>
      <c r="E258" s="1347" t="s">
        <v>349</v>
      </c>
      <c r="F258" s="1313" t="s">
        <v>430</v>
      </c>
      <c r="G258" s="1349">
        <v>9.9339999999999998E-2</v>
      </c>
      <c r="H258" s="222">
        <f t="shared" si="57"/>
        <v>1805</v>
      </c>
      <c r="I258" s="1354">
        <v>1550</v>
      </c>
      <c r="J258" s="1354">
        <v>255</v>
      </c>
      <c r="K258" s="1354"/>
      <c r="L258" s="1347" t="s">
        <v>349</v>
      </c>
      <c r="M258" s="223">
        <f t="shared" si="66"/>
        <v>280.63549999999998</v>
      </c>
      <c r="N258" s="224">
        <f t="shared" si="59"/>
        <v>153.977</v>
      </c>
      <c r="O258" s="224">
        <f t="shared" si="60"/>
        <v>126.65849999999999</v>
      </c>
      <c r="P258" s="224">
        <f t="shared" si="61"/>
        <v>0</v>
      </c>
      <c r="Q258" s="205"/>
    </row>
    <row r="259" spans="1:18" hidden="1" outlineLevel="1">
      <c r="A259" s="225" t="s">
        <v>816</v>
      </c>
      <c r="B259" s="1350" t="s">
        <v>617</v>
      </c>
      <c r="C259" s="1336">
        <v>707</v>
      </c>
      <c r="D259" s="1321" t="s">
        <v>432</v>
      </c>
      <c r="E259" s="1351" t="s">
        <v>349</v>
      </c>
      <c r="F259" s="1321" t="s">
        <v>430</v>
      </c>
      <c r="G259" s="1352">
        <v>9.9339999999999998E-2</v>
      </c>
      <c r="H259" s="226">
        <f t="shared" si="57"/>
        <v>6653</v>
      </c>
      <c r="I259" s="1355">
        <v>6653</v>
      </c>
      <c r="J259" s="1355"/>
      <c r="K259" s="1355"/>
      <c r="L259" s="1351" t="s">
        <v>349</v>
      </c>
      <c r="M259" s="227">
        <f t="shared" si="66"/>
        <v>660.90901999999994</v>
      </c>
      <c r="N259" s="228">
        <f t="shared" si="59"/>
        <v>660.90901999999994</v>
      </c>
      <c r="O259" s="228">
        <f t="shared" si="60"/>
        <v>0</v>
      </c>
      <c r="P259" s="228">
        <f t="shared" si="61"/>
        <v>0</v>
      </c>
      <c r="Q259" s="230"/>
      <c r="R259" s="512">
        <f>SUM(M231:M259)</f>
        <v>10740.299510000003</v>
      </c>
    </row>
    <row r="260" spans="1:18" hidden="1" outlineLevel="1">
      <c r="A260" s="211" t="s">
        <v>816</v>
      </c>
      <c r="B260" s="1346" t="s">
        <v>408</v>
      </c>
      <c r="C260" s="1332">
        <v>841</v>
      </c>
      <c r="D260" s="1313" t="s">
        <v>433</v>
      </c>
      <c r="E260" s="1347" t="s">
        <v>349</v>
      </c>
      <c r="F260" s="1313" t="s">
        <v>429</v>
      </c>
      <c r="G260" s="1348">
        <v>9.3490000000000004E-2</v>
      </c>
      <c r="H260" s="222">
        <f t="shared" si="57"/>
        <v>249</v>
      </c>
      <c r="I260" s="1354">
        <v>249</v>
      </c>
      <c r="J260" s="1354"/>
      <c r="K260" s="1354"/>
      <c r="L260" s="1347" t="s">
        <v>349</v>
      </c>
      <c r="M260" s="223">
        <f t="shared" si="66"/>
        <v>23.27901</v>
      </c>
      <c r="N260" s="224">
        <f t="shared" si="59"/>
        <v>23.27901</v>
      </c>
      <c r="O260" s="224">
        <f t="shared" si="60"/>
        <v>0</v>
      </c>
      <c r="P260" s="224">
        <f t="shared" si="61"/>
        <v>0</v>
      </c>
      <c r="Q260" s="205"/>
    </row>
    <row r="261" spans="1:18" hidden="1" outlineLevel="1">
      <c r="A261" s="211" t="s">
        <v>816</v>
      </c>
      <c r="B261" s="1346" t="s">
        <v>409</v>
      </c>
      <c r="C261" s="1332">
        <v>21717</v>
      </c>
      <c r="D261" s="1313" t="s">
        <v>433</v>
      </c>
      <c r="E261" s="1347" t="s">
        <v>349</v>
      </c>
      <c r="F261" s="1313" t="s">
        <v>429</v>
      </c>
      <c r="G261" s="1348">
        <v>9.3490000000000004E-2</v>
      </c>
      <c r="H261" s="222">
        <f t="shared" si="57"/>
        <v>814</v>
      </c>
      <c r="I261" s="1354">
        <v>814</v>
      </c>
      <c r="J261" s="1354"/>
      <c r="K261" s="1354"/>
      <c r="L261" s="1347" t="s">
        <v>349</v>
      </c>
      <c r="M261" s="223">
        <f t="shared" si="66"/>
        <v>76.100859999999997</v>
      </c>
      <c r="N261" s="224">
        <f t="shared" si="59"/>
        <v>76.100859999999997</v>
      </c>
      <c r="O261" s="224">
        <f t="shared" si="60"/>
        <v>0</v>
      </c>
      <c r="P261" s="224">
        <f t="shared" si="61"/>
        <v>0</v>
      </c>
      <c r="Q261" s="205"/>
    </row>
    <row r="262" spans="1:18" hidden="1" outlineLevel="1">
      <c r="A262" s="211" t="s">
        <v>816</v>
      </c>
      <c r="B262" s="1346" t="s">
        <v>410</v>
      </c>
      <c r="C262" s="1332">
        <v>749</v>
      </c>
      <c r="D262" s="1313" t="s">
        <v>433</v>
      </c>
      <c r="E262" s="1347" t="s">
        <v>349</v>
      </c>
      <c r="F262" s="1313" t="s">
        <v>430</v>
      </c>
      <c r="G262" s="1348">
        <v>9.9339999999999998E-2</v>
      </c>
      <c r="H262" s="222">
        <f t="shared" ref="H262:H272" si="75">SUM(I262:K262)</f>
        <v>9779</v>
      </c>
      <c r="I262" s="1354">
        <v>9000</v>
      </c>
      <c r="J262" s="1354">
        <v>779</v>
      </c>
      <c r="K262" s="1354"/>
      <c r="L262" s="1347" t="s">
        <v>349</v>
      </c>
      <c r="M262" s="223">
        <f t="shared" ref="M262:M271" si="76">SUM(N262:P262)</f>
        <v>1280.9893</v>
      </c>
      <c r="N262" s="224">
        <f t="shared" ref="N262:N271" si="77">G262*I262</f>
        <v>894.06</v>
      </c>
      <c r="O262" s="224">
        <f t="shared" ref="O262:O271" si="78">G262*J262*5</f>
        <v>386.92929999999996</v>
      </c>
      <c r="P262" s="224">
        <f t="shared" ref="P262:P271" si="79">G262*K262*5</f>
        <v>0</v>
      </c>
      <c r="Q262" s="205"/>
    </row>
    <row r="263" spans="1:18" hidden="1" outlineLevel="1">
      <c r="A263" s="211" t="s">
        <v>816</v>
      </c>
      <c r="B263" s="1346" t="s">
        <v>411</v>
      </c>
      <c r="C263" s="1332">
        <v>20044</v>
      </c>
      <c r="D263" s="1313" t="s">
        <v>433</v>
      </c>
      <c r="E263" s="1347" t="s">
        <v>349</v>
      </c>
      <c r="F263" s="1313" t="s">
        <v>430</v>
      </c>
      <c r="G263" s="1348">
        <v>9.9339999999999998E-2</v>
      </c>
      <c r="H263" s="222">
        <f t="shared" si="75"/>
        <v>1240</v>
      </c>
      <c r="I263" s="1354">
        <v>1240</v>
      </c>
      <c r="J263" s="1354"/>
      <c r="K263" s="1354"/>
      <c r="L263" s="1347" t="s">
        <v>349</v>
      </c>
      <c r="M263" s="223">
        <f t="shared" si="76"/>
        <v>123.1816</v>
      </c>
      <c r="N263" s="224">
        <f t="shared" si="77"/>
        <v>123.1816</v>
      </c>
      <c r="O263" s="224">
        <f t="shared" si="78"/>
        <v>0</v>
      </c>
      <c r="P263" s="224">
        <f t="shared" si="79"/>
        <v>0</v>
      </c>
      <c r="Q263" s="205"/>
    </row>
    <row r="264" spans="1:18" hidden="1" outlineLevel="1">
      <c r="A264" s="211" t="s">
        <v>816</v>
      </c>
      <c r="B264" s="1346" t="s">
        <v>412</v>
      </c>
      <c r="C264" s="1332">
        <v>15141</v>
      </c>
      <c r="D264" s="1313" t="s">
        <v>433</v>
      </c>
      <c r="E264" s="1347" t="s">
        <v>349</v>
      </c>
      <c r="F264" s="1313" t="s">
        <v>429</v>
      </c>
      <c r="G264" s="1348">
        <v>9.3490000000000004E-2</v>
      </c>
      <c r="H264" s="222">
        <f t="shared" si="75"/>
        <v>9</v>
      </c>
      <c r="I264" s="1354">
        <v>9</v>
      </c>
      <c r="J264" s="1354"/>
      <c r="K264" s="1354"/>
      <c r="L264" s="1347" t="s">
        <v>349</v>
      </c>
      <c r="M264" s="223">
        <f t="shared" si="76"/>
        <v>0.84140999999999999</v>
      </c>
      <c r="N264" s="224">
        <f t="shared" si="77"/>
        <v>0.84140999999999999</v>
      </c>
      <c r="O264" s="224">
        <f t="shared" si="78"/>
        <v>0</v>
      </c>
      <c r="P264" s="224">
        <f t="shared" si="79"/>
        <v>0</v>
      </c>
      <c r="Q264" s="205"/>
    </row>
    <row r="265" spans="1:18" hidden="1" outlineLevel="1">
      <c r="A265" s="211" t="s">
        <v>816</v>
      </c>
      <c r="B265" s="1346" t="s">
        <v>413</v>
      </c>
      <c r="C265" s="1332">
        <v>16904</v>
      </c>
      <c r="D265" s="1313" t="s">
        <v>433</v>
      </c>
      <c r="E265" s="1347" t="s">
        <v>349</v>
      </c>
      <c r="F265" s="1313" t="s">
        <v>430</v>
      </c>
      <c r="G265" s="1348">
        <v>9.9339999999999998E-2</v>
      </c>
      <c r="H265" s="222">
        <f t="shared" si="75"/>
        <v>2111</v>
      </c>
      <c r="I265" s="1354">
        <v>2111</v>
      </c>
      <c r="J265" s="1354"/>
      <c r="K265" s="1354"/>
      <c r="L265" s="1347" t="s">
        <v>349</v>
      </c>
      <c r="M265" s="223">
        <f t="shared" si="76"/>
        <v>209.70674</v>
      </c>
      <c r="N265" s="224">
        <f t="shared" si="77"/>
        <v>209.70674</v>
      </c>
      <c r="O265" s="224">
        <f t="shared" si="78"/>
        <v>0</v>
      </c>
      <c r="P265" s="224">
        <f t="shared" si="79"/>
        <v>0</v>
      </c>
      <c r="Q265" s="205"/>
    </row>
    <row r="266" spans="1:18" hidden="1" outlineLevel="1">
      <c r="A266" s="211" t="s">
        <v>816</v>
      </c>
      <c r="B266" s="1346" t="s">
        <v>606</v>
      </c>
      <c r="C266" s="1332">
        <v>892</v>
      </c>
      <c r="D266" s="1313" t="s">
        <v>433</v>
      </c>
      <c r="E266" s="1347" t="s">
        <v>349</v>
      </c>
      <c r="F266" s="1313" t="s">
        <v>429</v>
      </c>
      <c r="G266" s="1348">
        <v>9.3490000000000004E-2</v>
      </c>
      <c r="H266" s="222">
        <f t="shared" si="75"/>
        <v>6241</v>
      </c>
      <c r="I266" s="1354">
        <v>6241</v>
      </c>
      <c r="J266" s="1354"/>
      <c r="K266" s="1354"/>
      <c r="L266" s="1347" t="s">
        <v>349</v>
      </c>
      <c r="M266" s="223">
        <f t="shared" si="76"/>
        <v>583.47109</v>
      </c>
      <c r="N266" s="224">
        <f t="shared" si="77"/>
        <v>583.47109</v>
      </c>
      <c r="O266" s="224">
        <f t="shared" si="78"/>
        <v>0</v>
      </c>
      <c r="P266" s="224">
        <f t="shared" si="79"/>
        <v>0</v>
      </c>
      <c r="Q266" s="205"/>
    </row>
    <row r="267" spans="1:18" hidden="1" outlineLevel="1">
      <c r="A267" s="211" t="s">
        <v>816</v>
      </c>
      <c r="B267" s="1346" t="s">
        <v>595</v>
      </c>
      <c r="C267" s="1332">
        <v>891</v>
      </c>
      <c r="D267" s="1313" t="s">
        <v>433</v>
      </c>
      <c r="E267" s="1347" t="s">
        <v>349</v>
      </c>
      <c r="F267" s="1313" t="s">
        <v>429</v>
      </c>
      <c r="G267" s="1348">
        <v>9.3490000000000004E-2</v>
      </c>
      <c r="H267" s="222">
        <f t="shared" si="75"/>
        <v>1504</v>
      </c>
      <c r="I267" s="1354">
        <v>1504</v>
      </c>
      <c r="J267" s="1354"/>
      <c r="K267" s="1354"/>
      <c r="L267" s="1347" t="s">
        <v>349</v>
      </c>
      <c r="M267" s="223">
        <f t="shared" ref="M267" si="80">SUM(N267:P267)</f>
        <v>140.60896</v>
      </c>
      <c r="N267" s="224">
        <f t="shared" ref="N267" si="81">G267*I267</f>
        <v>140.60896</v>
      </c>
      <c r="O267" s="224">
        <f t="shared" ref="O267" si="82">G267*J267*5</f>
        <v>0</v>
      </c>
      <c r="P267" s="224">
        <f t="shared" ref="P267" si="83">G267*K267*5</f>
        <v>0</v>
      </c>
      <c r="Q267" s="205"/>
    </row>
    <row r="268" spans="1:18" hidden="1" outlineLevel="1">
      <c r="A268" s="211" t="s">
        <v>816</v>
      </c>
      <c r="B268" s="1346" t="s">
        <v>414</v>
      </c>
      <c r="C268" s="1332">
        <v>16757</v>
      </c>
      <c r="D268" s="1313" t="s">
        <v>433</v>
      </c>
      <c r="E268" s="1347" t="s">
        <v>349</v>
      </c>
      <c r="F268" s="1313" t="s">
        <v>429</v>
      </c>
      <c r="G268" s="1348">
        <v>9.3490000000000004E-2</v>
      </c>
      <c r="H268" s="222">
        <f t="shared" si="75"/>
        <v>1084</v>
      </c>
      <c r="I268" s="1354">
        <v>1084</v>
      </c>
      <c r="J268" s="1354"/>
      <c r="K268" s="1354"/>
      <c r="L268" s="1347" t="s">
        <v>349</v>
      </c>
      <c r="M268" s="223">
        <f t="shared" si="76"/>
        <v>101.34316</v>
      </c>
      <c r="N268" s="224">
        <f t="shared" si="77"/>
        <v>101.34316</v>
      </c>
      <c r="O268" s="224">
        <f t="shared" si="78"/>
        <v>0</v>
      </c>
      <c r="P268" s="224">
        <f t="shared" si="79"/>
        <v>0</v>
      </c>
      <c r="Q268" s="205"/>
    </row>
    <row r="269" spans="1:18" hidden="1" outlineLevel="1">
      <c r="A269" s="211" t="s">
        <v>816</v>
      </c>
      <c r="B269" s="1346" t="s">
        <v>596</v>
      </c>
      <c r="C269" s="1332">
        <v>878</v>
      </c>
      <c r="D269" s="1313" t="s">
        <v>433</v>
      </c>
      <c r="E269" s="1347" t="s">
        <v>349</v>
      </c>
      <c r="F269" s="1313" t="s">
        <v>429</v>
      </c>
      <c r="G269" s="1348">
        <v>9.3490000000000004E-2</v>
      </c>
      <c r="H269" s="222">
        <f t="shared" si="75"/>
        <v>2294</v>
      </c>
      <c r="I269" s="1354">
        <v>2294</v>
      </c>
      <c r="J269" s="1354"/>
      <c r="K269" s="1354"/>
      <c r="L269" s="1347" t="s">
        <v>349</v>
      </c>
      <c r="M269" s="223">
        <f t="shared" si="76"/>
        <v>214.46606</v>
      </c>
      <c r="N269" s="224">
        <f t="shared" si="77"/>
        <v>214.46606</v>
      </c>
      <c r="O269" s="224">
        <f t="shared" si="78"/>
        <v>0</v>
      </c>
      <c r="P269" s="224">
        <f t="shared" si="79"/>
        <v>0</v>
      </c>
      <c r="Q269" s="205"/>
    </row>
    <row r="270" spans="1:18" hidden="1" outlineLevel="1">
      <c r="A270" s="211" t="s">
        <v>816</v>
      </c>
      <c r="B270" s="1346" t="s">
        <v>597</v>
      </c>
      <c r="C270" s="1332">
        <v>879</v>
      </c>
      <c r="D270" s="1313" t="s">
        <v>433</v>
      </c>
      <c r="E270" s="1347" t="s">
        <v>349</v>
      </c>
      <c r="F270" s="1313" t="s">
        <v>429</v>
      </c>
      <c r="G270" s="1348">
        <v>9.3490000000000004E-2</v>
      </c>
      <c r="H270" s="222">
        <f t="shared" si="75"/>
        <v>5640</v>
      </c>
      <c r="I270" s="1354">
        <v>5640</v>
      </c>
      <c r="J270" s="1354"/>
      <c r="K270" s="1354"/>
      <c r="L270" s="1347" t="s">
        <v>349</v>
      </c>
      <c r="M270" s="223">
        <f t="shared" si="76"/>
        <v>527.28359999999998</v>
      </c>
      <c r="N270" s="224">
        <f t="shared" si="77"/>
        <v>527.28359999999998</v>
      </c>
      <c r="O270" s="224">
        <f t="shared" si="78"/>
        <v>0</v>
      </c>
      <c r="P270" s="224">
        <f t="shared" si="79"/>
        <v>0</v>
      </c>
      <c r="Q270" s="205"/>
    </row>
    <row r="271" spans="1:18" hidden="1" outlineLevel="1">
      <c r="A271" s="211" t="s">
        <v>816</v>
      </c>
      <c r="B271" s="1346" t="s">
        <v>598</v>
      </c>
      <c r="C271" s="1332">
        <v>880</v>
      </c>
      <c r="D271" s="1313" t="s">
        <v>433</v>
      </c>
      <c r="E271" s="1347" t="s">
        <v>349</v>
      </c>
      <c r="F271" s="1313" t="s">
        <v>429</v>
      </c>
      <c r="G271" s="1348">
        <v>9.3490000000000004E-2</v>
      </c>
      <c r="H271" s="222">
        <f t="shared" si="75"/>
        <v>7107</v>
      </c>
      <c r="I271" s="1354">
        <v>7107</v>
      </c>
      <c r="J271" s="1354"/>
      <c r="K271" s="1354"/>
      <c r="L271" s="1347" t="s">
        <v>349</v>
      </c>
      <c r="M271" s="223">
        <f t="shared" si="76"/>
        <v>664.43343000000004</v>
      </c>
      <c r="N271" s="224">
        <f t="shared" si="77"/>
        <v>664.43343000000004</v>
      </c>
      <c r="O271" s="224">
        <f t="shared" si="78"/>
        <v>0</v>
      </c>
      <c r="P271" s="224">
        <f t="shared" si="79"/>
        <v>0</v>
      </c>
      <c r="Q271" s="205"/>
    </row>
    <row r="272" spans="1:18" hidden="1" outlineLevel="1">
      <c r="A272" s="211" t="s">
        <v>816</v>
      </c>
      <c r="B272" s="1346" t="s">
        <v>618</v>
      </c>
      <c r="C272" s="1332">
        <v>4650</v>
      </c>
      <c r="D272" s="1313" t="s">
        <v>433</v>
      </c>
      <c r="E272" s="1347" t="s">
        <v>349</v>
      </c>
      <c r="F272" s="1313" t="s">
        <v>429</v>
      </c>
      <c r="G272" s="1348">
        <v>9.3490000000000004E-2</v>
      </c>
      <c r="H272" s="222">
        <f t="shared" si="75"/>
        <v>8977</v>
      </c>
      <c r="I272" s="1354">
        <v>8977</v>
      </c>
      <c r="J272" s="1354"/>
      <c r="K272" s="1354"/>
      <c r="L272" s="1347" t="s">
        <v>349</v>
      </c>
      <c r="M272" s="223">
        <f t="shared" si="66"/>
        <v>839.25972999999999</v>
      </c>
      <c r="N272" s="224">
        <f t="shared" ref="N272:N288" si="84">G272*I272</f>
        <v>839.25972999999999</v>
      </c>
      <c r="O272" s="224">
        <f t="shared" ref="O272:O288" si="85">G272*J272*5</f>
        <v>0</v>
      </c>
      <c r="P272" s="224">
        <f t="shared" ref="P272:P288" si="86">G272*K272*5</f>
        <v>0</v>
      </c>
      <c r="Q272" s="205"/>
    </row>
    <row r="273" spans="1:18" hidden="1" outlineLevel="1">
      <c r="A273" s="211" t="s">
        <v>816</v>
      </c>
      <c r="B273" s="1346" t="s">
        <v>1303</v>
      </c>
      <c r="C273" s="1332">
        <v>14114</v>
      </c>
      <c r="D273" s="1313" t="s">
        <v>433</v>
      </c>
      <c r="E273" s="1347" t="s">
        <v>349</v>
      </c>
      <c r="F273" s="1313" t="s">
        <v>430</v>
      </c>
      <c r="G273" s="1349">
        <v>0.17876</v>
      </c>
      <c r="H273" s="222">
        <f t="shared" ref="H273:H288" si="87">SUM(I273:K273)</f>
        <v>5682</v>
      </c>
      <c r="I273" s="1354">
        <v>5682</v>
      </c>
      <c r="J273" s="1354"/>
      <c r="K273" s="1354"/>
      <c r="L273" s="1347" t="s">
        <v>349</v>
      </c>
      <c r="M273" s="223">
        <f t="shared" si="66"/>
        <v>1015.71432</v>
      </c>
      <c r="N273" s="224">
        <f t="shared" si="84"/>
        <v>1015.71432</v>
      </c>
      <c r="O273" s="224">
        <f t="shared" si="85"/>
        <v>0</v>
      </c>
      <c r="P273" s="224">
        <f t="shared" si="86"/>
        <v>0</v>
      </c>
      <c r="Q273" s="205"/>
    </row>
    <row r="274" spans="1:18" hidden="1" outlineLevel="1">
      <c r="A274" s="211" t="s">
        <v>816</v>
      </c>
      <c r="B274" s="1346" t="s">
        <v>1303</v>
      </c>
      <c r="C274" s="1332">
        <v>14114</v>
      </c>
      <c r="D274" s="1313" t="s">
        <v>433</v>
      </c>
      <c r="E274" s="1347" t="s">
        <v>349</v>
      </c>
      <c r="F274" s="1313" t="s">
        <v>430</v>
      </c>
      <c r="G274" s="1348">
        <v>9.9339999999999998E-2</v>
      </c>
      <c r="H274" s="222">
        <f t="shared" si="87"/>
        <v>10211</v>
      </c>
      <c r="I274" s="1354">
        <v>10211</v>
      </c>
      <c r="J274" s="1354"/>
      <c r="K274" s="1354"/>
      <c r="L274" s="1347" t="s">
        <v>349</v>
      </c>
      <c r="M274" s="223">
        <f t="shared" si="66"/>
        <v>1014.36074</v>
      </c>
      <c r="N274" s="224">
        <f t="shared" si="84"/>
        <v>1014.36074</v>
      </c>
      <c r="O274" s="224">
        <f t="shared" si="85"/>
        <v>0</v>
      </c>
      <c r="P274" s="224">
        <f t="shared" si="86"/>
        <v>0</v>
      </c>
      <c r="Q274" s="205"/>
    </row>
    <row r="275" spans="1:18" hidden="1" outlineLevel="1">
      <c r="A275" s="211" t="s">
        <v>816</v>
      </c>
      <c r="B275" s="1346" t="s">
        <v>608</v>
      </c>
      <c r="C275" s="1332">
        <v>969</v>
      </c>
      <c r="D275" s="1313" t="s">
        <v>433</v>
      </c>
      <c r="E275" s="1347" t="s">
        <v>349</v>
      </c>
      <c r="F275" s="1313" t="s">
        <v>429</v>
      </c>
      <c r="G275" s="1348">
        <v>9.3490000000000004E-2</v>
      </c>
      <c r="H275" s="222">
        <f t="shared" si="87"/>
        <v>9158</v>
      </c>
      <c r="I275" s="1354">
        <v>9158</v>
      </c>
      <c r="J275" s="1354"/>
      <c r="K275" s="1354"/>
      <c r="L275" s="1347" t="s">
        <v>349</v>
      </c>
      <c r="M275" s="223">
        <f t="shared" si="66"/>
        <v>856.18142</v>
      </c>
      <c r="N275" s="224">
        <f t="shared" si="84"/>
        <v>856.18142</v>
      </c>
      <c r="O275" s="224">
        <f t="shared" si="85"/>
        <v>0</v>
      </c>
      <c r="P275" s="224">
        <f t="shared" si="86"/>
        <v>0</v>
      </c>
      <c r="Q275" s="205"/>
    </row>
    <row r="276" spans="1:18" hidden="1" outlineLevel="1">
      <c r="A276" s="211" t="s">
        <v>816</v>
      </c>
      <c r="B276" s="1346" t="s">
        <v>609</v>
      </c>
      <c r="C276" s="1332">
        <v>1003</v>
      </c>
      <c r="D276" s="1313" t="s">
        <v>433</v>
      </c>
      <c r="E276" s="1347" t="s">
        <v>349</v>
      </c>
      <c r="F276" s="1313" t="s">
        <v>430</v>
      </c>
      <c r="G276" s="1348">
        <v>9.9339999999999998E-2</v>
      </c>
      <c r="H276" s="222">
        <f t="shared" si="87"/>
        <v>5364</v>
      </c>
      <c r="I276" s="1354">
        <v>5364</v>
      </c>
      <c r="J276" s="1354"/>
      <c r="K276" s="1354"/>
      <c r="L276" s="1347" t="s">
        <v>349</v>
      </c>
      <c r="M276" s="223">
        <f t="shared" si="66"/>
        <v>532.85975999999994</v>
      </c>
      <c r="N276" s="224">
        <f t="shared" si="84"/>
        <v>532.85975999999994</v>
      </c>
      <c r="O276" s="224">
        <f t="shared" si="85"/>
        <v>0</v>
      </c>
      <c r="P276" s="224">
        <f t="shared" si="86"/>
        <v>0</v>
      </c>
      <c r="Q276" s="205"/>
    </row>
    <row r="277" spans="1:18" hidden="1" outlineLevel="1">
      <c r="A277" s="211" t="s">
        <v>816</v>
      </c>
      <c r="B277" s="1346" t="s">
        <v>416</v>
      </c>
      <c r="C277" s="1332">
        <v>881</v>
      </c>
      <c r="D277" s="1313" t="s">
        <v>433</v>
      </c>
      <c r="E277" s="1347" t="s">
        <v>349</v>
      </c>
      <c r="F277" s="1313" t="s">
        <v>429</v>
      </c>
      <c r="G277" s="1348">
        <v>9.3490000000000004E-2</v>
      </c>
      <c r="H277" s="222">
        <f t="shared" si="87"/>
        <v>514</v>
      </c>
      <c r="I277" s="1354">
        <v>514</v>
      </c>
      <c r="J277" s="1354"/>
      <c r="K277" s="1354"/>
      <c r="L277" s="1347" t="s">
        <v>349</v>
      </c>
      <c r="M277" s="223">
        <f t="shared" si="66"/>
        <v>48.05386</v>
      </c>
      <c r="N277" s="224">
        <f t="shared" si="84"/>
        <v>48.05386</v>
      </c>
      <c r="O277" s="224">
        <f t="shared" si="85"/>
        <v>0</v>
      </c>
      <c r="P277" s="224">
        <f t="shared" si="86"/>
        <v>0</v>
      </c>
      <c r="Q277" s="205"/>
    </row>
    <row r="278" spans="1:18" hidden="1" outlineLevel="1">
      <c r="A278" s="211" t="s">
        <v>816</v>
      </c>
      <c r="B278" s="1346" t="s">
        <v>417</v>
      </c>
      <c r="C278" s="1332">
        <v>832</v>
      </c>
      <c r="D278" s="1313" t="s">
        <v>433</v>
      </c>
      <c r="E278" s="1347" t="s">
        <v>349</v>
      </c>
      <c r="F278" s="1313" t="s">
        <v>429</v>
      </c>
      <c r="G278" s="1348">
        <v>9.3490000000000004E-2</v>
      </c>
      <c r="H278" s="222">
        <f t="shared" si="87"/>
        <v>241</v>
      </c>
      <c r="I278" s="1354">
        <v>241</v>
      </c>
      <c r="J278" s="1354"/>
      <c r="K278" s="1354"/>
      <c r="L278" s="1347" t="s">
        <v>349</v>
      </c>
      <c r="M278" s="223">
        <f t="shared" si="66"/>
        <v>22.531090000000003</v>
      </c>
      <c r="N278" s="224">
        <f t="shared" si="84"/>
        <v>22.531090000000003</v>
      </c>
      <c r="O278" s="224">
        <f t="shared" si="85"/>
        <v>0</v>
      </c>
      <c r="P278" s="224">
        <f t="shared" si="86"/>
        <v>0</v>
      </c>
      <c r="Q278" s="205"/>
    </row>
    <row r="279" spans="1:18" hidden="1" outlineLevel="1">
      <c r="A279" s="211" t="s">
        <v>816</v>
      </c>
      <c r="B279" s="1346" t="s">
        <v>418</v>
      </c>
      <c r="C279" s="1332">
        <v>1138</v>
      </c>
      <c r="D279" s="1313" t="s">
        <v>433</v>
      </c>
      <c r="E279" s="1347" t="s">
        <v>349</v>
      </c>
      <c r="F279" s="1313" t="s">
        <v>430</v>
      </c>
      <c r="G279" s="1348">
        <v>9.9339999999999998E-2</v>
      </c>
      <c r="H279" s="222">
        <f t="shared" si="87"/>
        <v>5059</v>
      </c>
      <c r="I279" s="1354">
        <v>5059</v>
      </c>
      <c r="J279" s="1354"/>
      <c r="K279" s="1354"/>
      <c r="L279" s="1347" t="s">
        <v>349</v>
      </c>
      <c r="M279" s="223">
        <f t="shared" si="66"/>
        <v>502.56106</v>
      </c>
      <c r="N279" s="224">
        <f t="shared" si="84"/>
        <v>502.56106</v>
      </c>
      <c r="O279" s="224">
        <f t="shared" si="85"/>
        <v>0</v>
      </c>
      <c r="P279" s="224">
        <f t="shared" si="86"/>
        <v>0</v>
      </c>
      <c r="Q279" s="205"/>
    </row>
    <row r="280" spans="1:18" hidden="1" outlineLevel="1">
      <c r="A280" s="211" t="s">
        <v>816</v>
      </c>
      <c r="B280" s="1346" t="s">
        <v>419</v>
      </c>
      <c r="C280" s="1332">
        <v>1010</v>
      </c>
      <c r="D280" s="1313" t="s">
        <v>433</v>
      </c>
      <c r="E280" s="1347" t="s">
        <v>349</v>
      </c>
      <c r="F280" s="1313" t="s">
        <v>430</v>
      </c>
      <c r="G280" s="1348">
        <v>9.9339999999999998E-2</v>
      </c>
      <c r="H280" s="222">
        <f t="shared" si="87"/>
        <v>341</v>
      </c>
      <c r="I280" s="1354">
        <v>341</v>
      </c>
      <c r="J280" s="1354"/>
      <c r="K280" s="1354"/>
      <c r="L280" s="1347" t="s">
        <v>349</v>
      </c>
      <c r="M280" s="223">
        <f t="shared" si="66"/>
        <v>33.874940000000002</v>
      </c>
      <c r="N280" s="224">
        <f t="shared" si="84"/>
        <v>33.874940000000002</v>
      </c>
      <c r="O280" s="224">
        <f t="shared" si="85"/>
        <v>0</v>
      </c>
      <c r="P280" s="224">
        <f t="shared" si="86"/>
        <v>0</v>
      </c>
      <c r="Q280" s="205"/>
    </row>
    <row r="281" spans="1:18" hidden="1" outlineLevel="1">
      <c r="A281" s="211" t="s">
        <v>816</v>
      </c>
      <c r="B281" s="1346" t="s">
        <v>420</v>
      </c>
      <c r="C281" s="1332">
        <v>16476</v>
      </c>
      <c r="D281" s="1313" t="s">
        <v>433</v>
      </c>
      <c r="E281" s="1347" t="s">
        <v>349</v>
      </c>
      <c r="F281" s="1313" t="s">
        <v>430</v>
      </c>
      <c r="G281" s="1348">
        <v>9.9339999999999998E-2</v>
      </c>
      <c r="H281" s="222">
        <f t="shared" si="87"/>
        <v>1010</v>
      </c>
      <c r="I281" s="1354">
        <v>1010</v>
      </c>
      <c r="J281" s="1354"/>
      <c r="K281" s="1354"/>
      <c r="L281" s="1347" t="s">
        <v>349</v>
      </c>
      <c r="M281" s="223">
        <f t="shared" si="66"/>
        <v>100.3334</v>
      </c>
      <c r="N281" s="224">
        <f t="shared" si="84"/>
        <v>100.3334</v>
      </c>
      <c r="O281" s="224">
        <f t="shared" si="85"/>
        <v>0</v>
      </c>
      <c r="P281" s="224">
        <f t="shared" si="86"/>
        <v>0</v>
      </c>
      <c r="Q281" s="205"/>
    </row>
    <row r="282" spans="1:18" hidden="1" outlineLevel="1">
      <c r="A282" s="211" t="s">
        <v>816</v>
      </c>
      <c r="B282" s="1346" t="s">
        <v>602</v>
      </c>
      <c r="C282" s="1332">
        <v>965</v>
      </c>
      <c r="D282" s="1313" t="s">
        <v>433</v>
      </c>
      <c r="E282" s="1347" t="s">
        <v>349</v>
      </c>
      <c r="F282" s="1313" t="s">
        <v>429</v>
      </c>
      <c r="G282" s="1348">
        <v>9.3490000000000004E-2</v>
      </c>
      <c r="H282" s="222">
        <f t="shared" si="87"/>
        <v>1248</v>
      </c>
      <c r="I282" s="1354">
        <v>1248</v>
      </c>
      <c r="J282" s="1354"/>
      <c r="K282" s="1354"/>
      <c r="L282" s="1347" t="s">
        <v>349</v>
      </c>
      <c r="M282" s="223">
        <f t="shared" si="66"/>
        <v>116.67552000000001</v>
      </c>
      <c r="N282" s="224">
        <f t="shared" si="84"/>
        <v>116.67552000000001</v>
      </c>
      <c r="O282" s="224">
        <f t="shared" si="85"/>
        <v>0</v>
      </c>
      <c r="P282" s="224">
        <f t="shared" si="86"/>
        <v>0</v>
      </c>
      <c r="Q282" s="205"/>
    </row>
    <row r="283" spans="1:18" hidden="1" outlineLevel="1">
      <c r="A283" s="211" t="s">
        <v>816</v>
      </c>
      <c r="B283" s="1346" t="s">
        <v>603</v>
      </c>
      <c r="C283" s="1332">
        <v>968</v>
      </c>
      <c r="D283" s="1313" t="s">
        <v>433</v>
      </c>
      <c r="E283" s="1347" t="s">
        <v>349</v>
      </c>
      <c r="F283" s="1313" t="s">
        <v>429</v>
      </c>
      <c r="G283" s="1348">
        <v>9.3490000000000004E-2</v>
      </c>
      <c r="H283" s="222">
        <f t="shared" si="87"/>
        <v>1626</v>
      </c>
      <c r="I283" s="1354">
        <v>1626</v>
      </c>
      <c r="J283" s="1354"/>
      <c r="K283" s="1354"/>
      <c r="L283" s="1347" t="s">
        <v>349</v>
      </c>
      <c r="M283" s="223">
        <f t="shared" si="66"/>
        <v>152.01474000000002</v>
      </c>
      <c r="N283" s="224">
        <f t="shared" si="84"/>
        <v>152.01474000000002</v>
      </c>
      <c r="O283" s="224">
        <f t="shared" si="85"/>
        <v>0</v>
      </c>
      <c r="P283" s="224">
        <f t="shared" si="86"/>
        <v>0</v>
      </c>
      <c r="Q283" s="205"/>
    </row>
    <row r="284" spans="1:18" hidden="1" outlineLevel="1">
      <c r="A284" s="211" t="s">
        <v>816</v>
      </c>
      <c r="B284" s="1346" t="s">
        <v>421</v>
      </c>
      <c r="C284" s="1332">
        <v>964</v>
      </c>
      <c r="D284" s="1313" t="s">
        <v>433</v>
      </c>
      <c r="E284" s="1347" t="s">
        <v>349</v>
      </c>
      <c r="F284" s="1313" t="s">
        <v>429</v>
      </c>
      <c r="G284" s="1348">
        <v>9.3490000000000004E-2</v>
      </c>
      <c r="H284" s="222">
        <f t="shared" si="87"/>
        <v>88</v>
      </c>
      <c r="I284" s="1354">
        <v>88</v>
      </c>
      <c r="J284" s="1354"/>
      <c r="K284" s="1354"/>
      <c r="L284" s="1347" t="s">
        <v>349</v>
      </c>
      <c r="M284" s="223">
        <f t="shared" si="66"/>
        <v>8.2271200000000011</v>
      </c>
      <c r="N284" s="224">
        <f t="shared" si="84"/>
        <v>8.2271200000000011</v>
      </c>
      <c r="O284" s="224">
        <f t="shared" si="85"/>
        <v>0</v>
      </c>
      <c r="P284" s="224">
        <f t="shared" si="86"/>
        <v>0</v>
      </c>
      <c r="Q284" s="205"/>
    </row>
    <row r="285" spans="1:18" hidden="1" outlineLevel="1">
      <c r="A285" s="211" t="s">
        <v>816</v>
      </c>
      <c r="B285" s="1346" t="s">
        <v>422</v>
      </c>
      <c r="C285" s="1332">
        <v>16477</v>
      </c>
      <c r="D285" s="1313" t="s">
        <v>433</v>
      </c>
      <c r="E285" s="1347" t="s">
        <v>349</v>
      </c>
      <c r="F285" s="1313" t="s">
        <v>430</v>
      </c>
      <c r="G285" s="1348">
        <v>9.9339999999999998E-2</v>
      </c>
      <c r="H285" s="222">
        <f t="shared" si="87"/>
        <v>53</v>
      </c>
      <c r="I285" s="1354">
        <v>53</v>
      </c>
      <c r="J285" s="1354"/>
      <c r="K285" s="1354"/>
      <c r="L285" s="1347" t="s">
        <v>349</v>
      </c>
      <c r="M285" s="223">
        <f t="shared" si="66"/>
        <v>5.2650199999999998</v>
      </c>
      <c r="N285" s="224">
        <f t="shared" si="84"/>
        <v>5.2650199999999998</v>
      </c>
      <c r="O285" s="224">
        <f t="shared" si="85"/>
        <v>0</v>
      </c>
      <c r="P285" s="224">
        <f t="shared" si="86"/>
        <v>0</v>
      </c>
      <c r="Q285" s="205"/>
    </row>
    <row r="286" spans="1:18" hidden="1" outlineLevel="1">
      <c r="A286" s="211" t="s">
        <v>816</v>
      </c>
      <c r="B286" s="1346" t="s">
        <v>423</v>
      </c>
      <c r="C286" s="1332">
        <v>703</v>
      </c>
      <c r="D286" s="1313" t="s">
        <v>433</v>
      </c>
      <c r="E286" s="1347" t="s">
        <v>349</v>
      </c>
      <c r="F286" s="1313" t="s">
        <v>430</v>
      </c>
      <c r="G286" s="1348">
        <v>9.9339999999999998E-2</v>
      </c>
      <c r="H286" s="222">
        <f t="shared" si="87"/>
        <v>1675</v>
      </c>
      <c r="I286" s="1354">
        <v>1550</v>
      </c>
      <c r="J286" s="1354">
        <v>125</v>
      </c>
      <c r="K286" s="1354"/>
      <c r="L286" s="1347" t="s">
        <v>349</v>
      </c>
      <c r="M286" s="223">
        <f t="shared" si="66"/>
        <v>216.06450000000001</v>
      </c>
      <c r="N286" s="224">
        <f t="shared" si="84"/>
        <v>153.977</v>
      </c>
      <c r="O286" s="224">
        <f t="shared" si="85"/>
        <v>62.087500000000006</v>
      </c>
      <c r="P286" s="224">
        <f t="shared" si="86"/>
        <v>0</v>
      </c>
      <c r="Q286" s="205"/>
    </row>
    <row r="287" spans="1:18" hidden="1" outlineLevel="1">
      <c r="A287" s="211" t="s">
        <v>816</v>
      </c>
      <c r="B287" s="1346" t="s">
        <v>617</v>
      </c>
      <c r="C287" s="1332">
        <v>707</v>
      </c>
      <c r="D287" s="1313" t="s">
        <v>433</v>
      </c>
      <c r="E287" s="1347" t="s">
        <v>349</v>
      </c>
      <c r="F287" s="1313" t="s">
        <v>430</v>
      </c>
      <c r="G287" s="1348">
        <v>9.9339999999999998E-2</v>
      </c>
      <c r="H287" s="222">
        <f t="shared" si="87"/>
        <v>6473</v>
      </c>
      <c r="I287" s="1354">
        <v>6473</v>
      </c>
      <c r="J287" s="1354"/>
      <c r="K287" s="1354"/>
      <c r="L287" s="1347" t="s">
        <v>349</v>
      </c>
      <c r="M287" s="223">
        <f t="shared" si="66"/>
        <v>643.02782000000002</v>
      </c>
      <c r="N287" s="224">
        <f t="shared" si="84"/>
        <v>643.02782000000002</v>
      </c>
      <c r="O287" s="224">
        <f t="shared" si="85"/>
        <v>0</v>
      </c>
      <c r="P287" s="224">
        <f t="shared" si="86"/>
        <v>0</v>
      </c>
      <c r="Q287" s="205"/>
    </row>
    <row r="288" spans="1:18" ht="13.8" hidden="1" outlineLevel="1" thickBot="1">
      <c r="A288" s="225" t="s">
        <v>816</v>
      </c>
      <c r="B288" s="1350" t="s">
        <v>466</v>
      </c>
      <c r="C288" s="1336">
        <v>15025</v>
      </c>
      <c r="D288" s="1321" t="s">
        <v>433</v>
      </c>
      <c r="E288" s="1351" t="s">
        <v>349</v>
      </c>
      <c r="F288" s="1321" t="s">
        <v>430</v>
      </c>
      <c r="G288" s="1352">
        <v>9.9339999999999998E-2</v>
      </c>
      <c r="H288" s="226">
        <f t="shared" si="87"/>
        <v>1080</v>
      </c>
      <c r="I288" s="1355">
        <v>1080</v>
      </c>
      <c r="J288" s="1355"/>
      <c r="K288" s="1355"/>
      <c r="L288" s="1351" t="s">
        <v>349</v>
      </c>
      <c r="M288" s="233">
        <f t="shared" si="66"/>
        <v>107.2872</v>
      </c>
      <c r="N288" s="228">
        <f t="shared" si="84"/>
        <v>107.2872</v>
      </c>
      <c r="O288" s="228">
        <f t="shared" si="85"/>
        <v>0</v>
      </c>
      <c r="P288" s="228">
        <f t="shared" si="86"/>
        <v>0</v>
      </c>
      <c r="Q288" s="230"/>
      <c r="R288" s="512">
        <f>SUM(M260:M288)</f>
        <v>10159.997460000001</v>
      </c>
    </row>
    <row r="289" spans="1:25" ht="13.8" collapsed="1" thickBot="1">
      <c r="A289" s="193" t="s">
        <v>810</v>
      </c>
      <c r="B289" s="212"/>
      <c r="C289" s="212"/>
      <c r="D289" s="212"/>
      <c r="E289" s="213"/>
      <c r="F289" s="214"/>
      <c r="G289" s="213"/>
      <c r="H289" s="779">
        <f>SUM(H173:H288)</f>
        <v>391773</v>
      </c>
      <c r="I289" s="231">
        <f>SUM(I173:I288)</f>
        <v>387645</v>
      </c>
      <c r="J289" s="231">
        <f>SUM(J173:J288)</f>
        <v>4128</v>
      </c>
      <c r="K289" s="231">
        <f>SUM(K173:K288)</f>
        <v>0</v>
      </c>
      <c r="L289" s="231"/>
      <c r="M289" s="232">
        <f>SUM(M173:M288)</f>
        <v>41444.212459999988</v>
      </c>
      <c r="N289" s="241">
        <f>SUM(N173:N288)</f>
        <v>39393.834859999981</v>
      </c>
      <c r="O289" s="241">
        <f>SUM(O173:O288)</f>
        <v>2050.3775999999998</v>
      </c>
      <c r="P289" s="241">
        <f>SUM(P173:P288)</f>
        <v>0</v>
      </c>
      <c r="Q289" s="196"/>
    </row>
    <row r="290" spans="1:25">
      <c r="A290" s="197"/>
      <c r="B290" s="243"/>
      <c r="C290" s="243"/>
      <c r="D290" s="243"/>
      <c r="E290" s="244"/>
      <c r="F290" s="245"/>
      <c r="G290" s="244"/>
      <c r="H290" s="246"/>
      <c r="I290" s="246"/>
      <c r="J290" s="1766" t="s">
        <v>1185</v>
      </c>
      <c r="K290" s="1766"/>
      <c r="L290" s="1766"/>
      <c r="M290" s="1766"/>
      <c r="N290" s="514">
        <f>'2. Kasumiaruanne'!D32</f>
        <v>39393.800000000003</v>
      </c>
      <c r="O290" s="514">
        <f>'2. Kasumiaruanne'!F32</f>
        <v>2050.38</v>
      </c>
      <c r="P290" s="247"/>
      <c r="Q290" s="248"/>
    </row>
    <row r="291" spans="1:25" ht="13.8" thickBot="1">
      <c r="A291" s="215"/>
      <c r="B291" s="215"/>
      <c r="C291" s="215"/>
      <c r="D291" s="215"/>
      <c r="E291" s="220"/>
      <c r="F291" s="221"/>
      <c r="G291" s="220"/>
      <c r="H291" s="220"/>
      <c r="I291" s="217"/>
      <c r="J291" s="219"/>
      <c r="K291" s="219"/>
      <c r="L291" s="219"/>
      <c r="M291" s="513" t="s">
        <v>369</v>
      </c>
      <c r="N291" s="515">
        <f>N289-N290</f>
        <v>3.4859999977925327E-2</v>
      </c>
      <c r="O291" s="515">
        <f>O289-O290</f>
        <v>-2.4000000003070454E-3</v>
      </c>
      <c r="P291" s="216"/>
      <c r="Q291" s="219"/>
    </row>
    <row r="292" spans="1:25">
      <c r="A292" s="1769">
        <v>2022</v>
      </c>
      <c r="B292" s="1770"/>
      <c r="C292" s="1770"/>
      <c r="D292" s="1770"/>
      <c r="E292" s="1770"/>
      <c r="F292" s="188"/>
      <c r="G292" s="188"/>
      <c r="H292" s="218"/>
      <c r="I292" s="188"/>
      <c r="J292" s="188"/>
      <c r="K292" s="188"/>
      <c r="L292" s="188"/>
      <c r="M292" s="188"/>
      <c r="N292" s="188"/>
      <c r="O292" s="188"/>
      <c r="P292" s="188"/>
      <c r="Q292" s="188"/>
    </row>
    <row r="293" spans="1:25" ht="13.8" thickBot="1">
      <c r="A293" s="15" t="s">
        <v>1306</v>
      </c>
      <c r="B293" s="189"/>
      <c r="C293" s="189"/>
      <c r="D293" s="189"/>
      <c r="E293" s="189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S293" s="1763" t="s">
        <v>1270</v>
      </c>
      <c r="T293" s="1763"/>
      <c r="U293" s="1531">
        <f>'3. Üldiseloomustus'!E61</f>
        <v>310242.277</v>
      </c>
      <c r="V293" s="1517" t="s">
        <v>1271</v>
      </c>
      <c r="W293" s="1761">
        <f>A292</f>
        <v>2022</v>
      </c>
      <c r="X293" s="1761"/>
      <c r="Y293" s="1761"/>
    </row>
    <row r="294" spans="1:25" hidden="1" outlineLevel="1">
      <c r="A294" s="771" t="s">
        <v>817</v>
      </c>
      <c r="B294" s="1308" t="s">
        <v>434</v>
      </c>
      <c r="C294" s="1308" t="s">
        <v>435</v>
      </c>
      <c r="D294" s="1309" t="s">
        <v>427</v>
      </c>
      <c r="E294" s="1310">
        <v>1</v>
      </c>
      <c r="F294" s="1309" t="s">
        <v>868</v>
      </c>
      <c r="G294" s="1311">
        <v>1435</v>
      </c>
      <c r="H294" s="778">
        <f>SUM(I294:K294)</f>
        <v>7.4996999999999994E-2</v>
      </c>
      <c r="I294" s="1329">
        <v>7.4996999999999994E-2</v>
      </c>
      <c r="J294" s="1329"/>
      <c r="K294" s="1330"/>
      <c r="L294" s="1310">
        <v>1</v>
      </c>
      <c r="M294" s="772">
        <f>SUM(N294:P294)-Q294</f>
        <v>107.620695</v>
      </c>
      <c r="N294" s="772">
        <f t="shared" ref="N294:N455" si="88">E294*G294*I294*L294</f>
        <v>107.620695</v>
      </c>
      <c r="O294" s="773">
        <f t="shared" ref="O294:O455" si="89">E294*G294*J294*L294*10</f>
        <v>0</v>
      </c>
      <c r="P294" s="773">
        <f>E294*G294*K294*L294*15</f>
        <v>0</v>
      </c>
      <c r="Q294" s="1339">
        <v>0</v>
      </c>
      <c r="R294" s="774"/>
      <c r="S294" s="1758" t="s">
        <v>1272</v>
      </c>
      <c r="T294" s="1758"/>
      <c r="U294" s="1538">
        <f>H294+H304+H308+H312+H318+H324+H329+H334+H345+H350+H354+H360+H366+H371+H376+H386+H390+H394+H400+H406+H411+H416+H426+H430+H434+H440+H446+H451</f>
        <v>0.47793400000000003</v>
      </c>
      <c r="V294" s="1519" t="s">
        <v>1273</v>
      </c>
      <c r="W294" s="1520" t="s">
        <v>1274</v>
      </c>
      <c r="X294" s="1552">
        <f>U294*1000000/U293</f>
        <v>1.5405186057218114</v>
      </c>
      <c r="Y294" s="1522" t="s">
        <v>1275</v>
      </c>
    </row>
    <row r="295" spans="1:25" hidden="1" outlineLevel="1">
      <c r="A295" s="190" t="s">
        <v>817</v>
      </c>
      <c r="B295" s="1312" t="s">
        <v>434</v>
      </c>
      <c r="C295" s="1312" t="s">
        <v>435</v>
      </c>
      <c r="D295" s="1313" t="s">
        <v>427</v>
      </c>
      <c r="E295" s="1314">
        <v>1</v>
      </c>
      <c r="F295" s="1319" t="s">
        <v>441</v>
      </c>
      <c r="G295" s="1315">
        <v>552.89</v>
      </c>
      <c r="H295" s="237">
        <f t="shared" ref="H295:H296" si="90">SUM(I295:K295)</f>
        <v>0.109611</v>
      </c>
      <c r="I295" s="1331">
        <v>0.109611</v>
      </c>
      <c r="J295" s="1331"/>
      <c r="K295" s="1332"/>
      <c r="L295" s="1314">
        <v>1</v>
      </c>
      <c r="M295" s="223">
        <f t="shared" ref="M295:M296" si="91">SUM(N295:P295)-Q295</f>
        <v>60.602825789999997</v>
      </c>
      <c r="N295" s="223">
        <f t="shared" si="88"/>
        <v>60.602825789999997</v>
      </c>
      <c r="O295" s="224">
        <f t="shared" si="89"/>
        <v>0</v>
      </c>
      <c r="P295" s="224">
        <f t="shared" ref="P295:P296" si="92">E295*G295*K295*L295*15</f>
        <v>0</v>
      </c>
      <c r="Q295" s="1340">
        <v>0</v>
      </c>
      <c r="S295" s="1758" t="s">
        <v>871</v>
      </c>
      <c r="T295" s="1758"/>
      <c r="U295" s="1539">
        <f>H346</f>
        <v>0</v>
      </c>
      <c r="V295" s="1519" t="s">
        <v>1273</v>
      </c>
      <c r="W295" s="1520" t="s">
        <v>1274</v>
      </c>
      <c r="X295" s="1541">
        <f>U295*1000000/U293</f>
        <v>0</v>
      </c>
      <c r="Y295" s="1522" t="s">
        <v>1275</v>
      </c>
    </row>
    <row r="296" spans="1:25" hidden="1" outlineLevel="1">
      <c r="A296" s="190" t="s">
        <v>817</v>
      </c>
      <c r="B296" s="1316" t="s">
        <v>434</v>
      </c>
      <c r="C296" s="1316" t="s">
        <v>435</v>
      </c>
      <c r="D296" s="1313" t="s">
        <v>427</v>
      </c>
      <c r="E296" s="1318">
        <v>1</v>
      </c>
      <c r="F296" s="1319" t="s">
        <v>442</v>
      </c>
      <c r="G296" s="1315">
        <v>4582</v>
      </c>
      <c r="H296" s="238">
        <f t="shared" si="90"/>
        <v>8.0770000000000008E-3</v>
      </c>
      <c r="I296" s="1333">
        <v>5.7689999999999998E-3</v>
      </c>
      <c r="J296" s="1333">
        <v>2.3080000000000002E-3</v>
      </c>
      <c r="K296" s="1334"/>
      <c r="L296" s="1318">
        <v>1</v>
      </c>
      <c r="M296" s="233">
        <f t="shared" si="91"/>
        <v>132.18611800000002</v>
      </c>
      <c r="N296" s="233">
        <f t="shared" si="88"/>
        <v>26.433557999999998</v>
      </c>
      <c r="O296" s="234">
        <f t="shared" si="89"/>
        <v>105.75256000000002</v>
      </c>
      <c r="P296" s="234">
        <f t="shared" si="92"/>
        <v>0</v>
      </c>
      <c r="Q296" s="1341">
        <v>0</v>
      </c>
      <c r="S296" s="1758" t="s">
        <v>1276</v>
      </c>
      <c r="T296" s="1758"/>
      <c r="U296" s="1538">
        <f>H295+H301+H302+H303+H305+H309+H313+H319+H325+H330+H335+H340+H342+H343+H344+H347+H351+H355+H361+H367+H372+H377+H383+H384+H385+H387+H391+H395+H401+H407+H412+H417+H423+H424+H425+H427+H431+H435+H441+H447+H452</f>
        <v>0.64332600000000006</v>
      </c>
      <c r="V296" s="1519" t="s">
        <v>1273</v>
      </c>
      <c r="W296" s="1520" t="s">
        <v>1274</v>
      </c>
      <c r="X296" s="1552">
        <f>U296*1000000/U293</f>
        <v>2.0736245434402871</v>
      </c>
      <c r="Y296" s="1522" t="s">
        <v>1275</v>
      </c>
    </row>
    <row r="297" spans="1:25" hidden="1" outlineLevel="1">
      <c r="A297" s="190" t="s">
        <v>817</v>
      </c>
      <c r="B297" s="1316" t="s">
        <v>434</v>
      </c>
      <c r="C297" s="1316" t="s">
        <v>435</v>
      </c>
      <c r="D297" s="1317" t="s">
        <v>427</v>
      </c>
      <c r="E297" s="1318">
        <v>1</v>
      </c>
      <c r="F297" s="1319" t="s">
        <v>443</v>
      </c>
      <c r="G297" s="1315">
        <v>2826</v>
      </c>
      <c r="H297" s="238">
        <f>SUM(I297:K297)</f>
        <v>0.132687</v>
      </c>
      <c r="I297" s="1333">
        <v>0.132687</v>
      </c>
      <c r="J297" s="1333"/>
      <c r="K297" s="1334"/>
      <c r="L297" s="1318">
        <v>1</v>
      </c>
      <c r="M297" s="233">
        <f>SUM(N297:P297)-Q297</f>
        <v>374.97346199999998</v>
      </c>
      <c r="N297" s="233">
        <f t="shared" si="88"/>
        <v>374.97346199999998</v>
      </c>
      <c r="O297" s="234">
        <f t="shared" si="89"/>
        <v>0</v>
      </c>
      <c r="P297" s="234">
        <f>E297*G297*K297*L297*15</f>
        <v>0</v>
      </c>
      <c r="Q297" s="1341">
        <v>0</v>
      </c>
      <c r="S297" s="1758" t="s">
        <v>1279</v>
      </c>
      <c r="T297" s="1758"/>
      <c r="U297" s="1538">
        <f>H296+H300+H314+H320+H326+H331+H336+H341+H356+H362+H368+H373+H378+H382+H396+H402+H408+H413+H418+H422+H436+H442+H448+H453</f>
        <v>3.1422000000000005E-2</v>
      </c>
      <c r="V297" s="1519" t="s">
        <v>1273</v>
      </c>
      <c r="W297" s="1520" t="s">
        <v>1274</v>
      </c>
      <c r="X297" s="1552">
        <f>U297*1000000/U293</f>
        <v>0.10128213441393742</v>
      </c>
      <c r="Y297" s="1522" t="s">
        <v>1275</v>
      </c>
    </row>
    <row r="298" spans="1:25" hidden="1" outlineLevel="1">
      <c r="A298" s="190" t="s">
        <v>817</v>
      </c>
      <c r="B298" s="1316" t="s">
        <v>434</v>
      </c>
      <c r="C298" s="1316" t="s">
        <v>435</v>
      </c>
      <c r="D298" s="1317" t="s">
        <v>427</v>
      </c>
      <c r="E298" s="1318">
        <v>1</v>
      </c>
      <c r="F298" s="1317" t="s">
        <v>444</v>
      </c>
      <c r="G298" s="1315">
        <v>12014</v>
      </c>
      <c r="H298" s="238">
        <f>SUM(I298:K298)</f>
        <v>1.2692E-2</v>
      </c>
      <c r="I298" s="1333">
        <v>1.1538E-2</v>
      </c>
      <c r="J298" s="1333">
        <v>1.1540000000000001E-3</v>
      </c>
      <c r="K298" s="1334"/>
      <c r="L298" s="1318">
        <v>1</v>
      </c>
      <c r="M298" s="233">
        <f>SUM(N298:P298)-Q298</f>
        <v>277.25909200000001</v>
      </c>
      <c r="N298" s="233">
        <f t="shared" si="88"/>
        <v>138.61753199999998</v>
      </c>
      <c r="O298" s="234">
        <f t="shared" si="89"/>
        <v>138.64156000000003</v>
      </c>
      <c r="P298" s="234">
        <f>E298*G298*K298*L298*15</f>
        <v>0</v>
      </c>
      <c r="Q298" s="1341">
        <v>0</v>
      </c>
      <c r="S298" s="1758" t="s">
        <v>1278</v>
      </c>
      <c r="T298" s="1758"/>
      <c r="U298" s="1538">
        <f>H297+H306+H310+H315+H321+H327+H332+H337+H348+H352+H357+H363+H369+H374+H379+H388+H392+H397+H403+H409+H414+H419+H428+H432+H437+H443+H449+H454</f>
        <v>1.2942579999999997</v>
      </c>
      <c r="V298" s="1519" t="s">
        <v>1273</v>
      </c>
      <c r="W298" s="1520" t="s">
        <v>1274</v>
      </c>
      <c r="X298" s="1552">
        <f>U298*1000000/U293</f>
        <v>4.1717654102957731</v>
      </c>
      <c r="Y298" s="1522" t="s">
        <v>1275</v>
      </c>
    </row>
    <row r="299" spans="1:25" hidden="1" outlineLevel="1">
      <c r="A299" s="190" t="s">
        <v>817</v>
      </c>
      <c r="B299" s="1320" t="s">
        <v>434</v>
      </c>
      <c r="C299" s="1320" t="s">
        <v>435</v>
      </c>
      <c r="D299" s="1321" t="s">
        <v>427</v>
      </c>
      <c r="E299" s="1322">
        <v>1</v>
      </c>
      <c r="F299" s="1324" t="s">
        <v>445</v>
      </c>
      <c r="G299" s="1323">
        <v>24326</v>
      </c>
      <c r="H299" s="239">
        <f t="shared" ref="H299:H306" si="93">SUM(I299:K299)</f>
        <v>0</v>
      </c>
      <c r="I299" s="1335"/>
      <c r="J299" s="1335"/>
      <c r="K299" s="1336"/>
      <c r="L299" s="1322">
        <v>1</v>
      </c>
      <c r="M299" s="227">
        <f t="shared" ref="M299:M306" si="94">SUM(N299:P299)-Q299</f>
        <v>0</v>
      </c>
      <c r="N299" s="227">
        <f t="shared" ref="N299:N306" si="95">E299*G299*I299*L299</f>
        <v>0</v>
      </c>
      <c r="O299" s="228">
        <f t="shared" ref="O299:O306" si="96">E299*G299*J299*L299*10</f>
        <v>0</v>
      </c>
      <c r="P299" s="228">
        <f t="shared" ref="P299:P306" si="97">E299*G299*K299*L299*15</f>
        <v>0</v>
      </c>
      <c r="Q299" s="1342">
        <v>0</v>
      </c>
      <c r="S299" s="1758" t="s">
        <v>1277</v>
      </c>
      <c r="T299" s="1758"/>
      <c r="U299" s="1538">
        <f>H298+H307+H311+H316+H322+H328+H333+H338+H349+H353+H358+H364+H370+H375+H380+H389+H393+H398+H404+H410+H415+H420+H429+H433+H438+H444+H450+H455</f>
        <v>0.18532600000000002</v>
      </c>
      <c r="V299" s="1519" t="s">
        <v>1273</v>
      </c>
      <c r="W299" s="1520" t="s">
        <v>1274</v>
      </c>
      <c r="X299" s="1552">
        <f>U299*1000000/U293</f>
        <v>0.59735894731071748</v>
      </c>
      <c r="Y299" s="1522" t="s">
        <v>1275</v>
      </c>
    </row>
    <row r="300" spans="1:25" hidden="1" outlineLevel="1">
      <c r="A300" s="190" t="s">
        <v>817</v>
      </c>
      <c r="B300" s="1320" t="s">
        <v>869</v>
      </c>
      <c r="C300" s="1320" t="s">
        <v>870</v>
      </c>
      <c r="D300" s="1321" t="s">
        <v>427</v>
      </c>
      <c r="E300" s="1322">
        <v>1</v>
      </c>
      <c r="F300" s="1324" t="s">
        <v>442</v>
      </c>
      <c r="G300" s="1323">
        <v>4582</v>
      </c>
      <c r="H300" s="239">
        <f t="shared" ref="H300:H301" si="98">SUM(I300:K300)</f>
        <v>0</v>
      </c>
      <c r="I300" s="1482"/>
      <c r="J300" s="1482"/>
      <c r="K300" s="1482"/>
      <c r="L300" s="1322">
        <v>0.5</v>
      </c>
      <c r="M300" s="520">
        <f t="shared" ref="M300:M303" si="99">SUM(N300:P300)-Q300</f>
        <v>0</v>
      </c>
      <c r="N300" s="521">
        <v>0</v>
      </c>
      <c r="O300" s="522">
        <f t="shared" ref="O300:O303" si="100">E300*G300*J300</f>
        <v>0</v>
      </c>
      <c r="P300" s="522"/>
      <c r="Q300" s="1342">
        <v>0</v>
      </c>
      <c r="S300" s="1759" t="s">
        <v>1280</v>
      </c>
      <c r="T300" s="1759"/>
      <c r="U300" s="1540">
        <f>H299+H317+H323+H339+H359+H365+H381+H399+H405+H421+H439+H445</f>
        <v>8.9899999999999995E-4</v>
      </c>
      <c r="V300" s="1525" t="s">
        <v>1273</v>
      </c>
      <c r="W300" s="1526" t="s">
        <v>1274</v>
      </c>
      <c r="X300" s="1553">
        <f>U300*1000000/U293</f>
        <v>2.8977353076866438E-3</v>
      </c>
      <c r="Y300" s="1527" t="s">
        <v>1275</v>
      </c>
    </row>
    <row r="301" spans="1:25" hidden="1" outlineLevel="1">
      <c r="A301" s="190" t="s">
        <v>817</v>
      </c>
      <c r="B301" s="1320" t="s">
        <v>1301</v>
      </c>
      <c r="C301" s="1320" t="s">
        <v>867</v>
      </c>
      <c r="D301" s="1321" t="s">
        <v>427</v>
      </c>
      <c r="E301" s="1322">
        <v>1.5</v>
      </c>
      <c r="F301" s="1324" t="s">
        <v>441</v>
      </c>
      <c r="G301" s="1323">
        <v>552.89</v>
      </c>
      <c r="H301" s="239">
        <f t="shared" si="98"/>
        <v>0</v>
      </c>
      <c r="I301" s="1482"/>
      <c r="J301" s="1482"/>
      <c r="K301" s="1482"/>
      <c r="L301" s="1322">
        <v>0.5</v>
      </c>
      <c r="M301" s="520">
        <f t="shared" si="99"/>
        <v>0</v>
      </c>
      <c r="N301" s="521">
        <v>0</v>
      </c>
      <c r="O301" s="522">
        <f t="shared" si="100"/>
        <v>0</v>
      </c>
      <c r="P301" s="522"/>
      <c r="Q301" s="1342">
        <v>0</v>
      </c>
      <c r="T301" s="1529" t="s">
        <v>1104</v>
      </c>
      <c r="U301" s="1530">
        <f>SUM(U294:U300)-H456</f>
        <v>0</v>
      </c>
    </row>
    <row r="302" spans="1:25" hidden="1" outlineLevel="1">
      <c r="A302" s="190" t="s">
        <v>817</v>
      </c>
      <c r="B302" s="1325" t="s">
        <v>620</v>
      </c>
      <c r="C302" s="1325" t="s">
        <v>621</v>
      </c>
      <c r="D302" s="1321" t="s">
        <v>427</v>
      </c>
      <c r="E302" s="1327">
        <v>1</v>
      </c>
      <c r="F302" s="1324" t="s">
        <v>441</v>
      </c>
      <c r="G302" s="1323">
        <v>552.89</v>
      </c>
      <c r="H302" s="239">
        <f t="shared" ref="H302:H303" si="101">SUM(I302:K302)</f>
        <v>0</v>
      </c>
      <c r="I302" s="1482"/>
      <c r="J302" s="1338"/>
      <c r="K302" s="1338"/>
      <c r="L302" s="1322">
        <v>0.5</v>
      </c>
      <c r="M302" s="520">
        <f t="shared" si="99"/>
        <v>0</v>
      </c>
      <c r="N302" s="521">
        <v>0</v>
      </c>
      <c r="O302" s="522">
        <f t="shared" si="100"/>
        <v>0</v>
      </c>
      <c r="P302" s="522"/>
      <c r="Q302" s="1342">
        <v>0</v>
      </c>
    </row>
    <row r="303" spans="1:25" hidden="1" outlineLevel="1">
      <c r="A303" s="190" t="s">
        <v>817</v>
      </c>
      <c r="B303" s="1325" t="s">
        <v>622</v>
      </c>
      <c r="C303" s="1325" t="s">
        <v>619</v>
      </c>
      <c r="D303" s="1321" t="s">
        <v>427</v>
      </c>
      <c r="E303" s="1327">
        <v>1</v>
      </c>
      <c r="F303" s="1324" t="s">
        <v>441</v>
      </c>
      <c r="G303" s="1323">
        <v>552.89</v>
      </c>
      <c r="H303" s="239">
        <f t="shared" si="101"/>
        <v>0</v>
      </c>
      <c r="I303" s="1482"/>
      <c r="J303" s="1338"/>
      <c r="K303" s="1338"/>
      <c r="L303" s="1322">
        <v>0.5</v>
      </c>
      <c r="M303" s="520">
        <f t="shared" si="99"/>
        <v>0</v>
      </c>
      <c r="N303" s="521">
        <v>0</v>
      </c>
      <c r="O303" s="522">
        <f t="shared" si="100"/>
        <v>0</v>
      </c>
      <c r="P303" s="522"/>
      <c r="Q303" s="1342">
        <v>0</v>
      </c>
    </row>
    <row r="304" spans="1:25" hidden="1" outlineLevel="1">
      <c r="A304" s="190" t="s">
        <v>817</v>
      </c>
      <c r="B304" s="1316" t="s">
        <v>436</v>
      </c>
      <c r="C304" s="1316" t="s">
        <v>591</v>
      </c>
      <c r="D304" s="1317" t="s">
        <v>427</v>
      </c>
      <c r="E304" s="1318">
        <v>1</v>
      </c>
      <c r="F304" s="1317" t="s">
        <v>868</v>
      </c>
      <c r="G304" s="1315">
        <v>1435</v>
      </c>
      <c r="H304" s="238">
        <f t="shared" si="93"/>
        <v>0</v>
      </c>
      <c r="I304" s="1333"/>
      <c r="J304" s="1333"/>
      <c r="K304" s="1334"/>
      <c r="L304" s="1318">
        <v>1</v>
      </c>
      <c r="M304" s="233">
        <f t="shared" si="94"/>
        <v>0</v>
      </c>
      <c r="N304" s="233">
        <f t="shared" si="95"/>
        <v>0</v>
      </c>
      <c r="O304" s="234">
        <f t="shared" si="96"/>
        <v>0</v>
      </c>
      <c r="P304" s="234">
        <f t="shared" si="97"/>
        <v>0</v>
      </c>
      <c r="Q304" s="1341">
        <v>0</v>
      </c>
    </row>
    <row r="305" spans="1:17" hidden="1" outlineLevel="1">
      <c r="A305" s="190" t="s">
        <v>817</v>
      </c>
      <c r="B305" s="1316" t="s">
        <v>436</v>
      </c>
      <c r="C305" s="1316" t="s">
        <v>591</v>
      </c>
      <c r="D305" s="1317" t="s">
        <v>427</v>
      </c>
      <c r="E305" s="1318">
        <v>1</v>
      </c>
      <c r="F305" s="1319" t="s">
        <v>441</v>
      </c>
      <c r="G305" s="1315">
        <v>552.89</v>
      </c>
      <c r="H305" s="238">
        <f t="shared" si="93"/>
        <v>0</v>
      </c>
      <c r="I305" s="1333"/>
      <c r="J305" s="1333"/>
      <c r="K305" s="1334"/>
      <c r="L305" s="1318">
        <v>1</v>
      </c>
      <c r="M305" s="233">
        <f t="shared" si="94"/>
        <v>0</v>
      </c>
      <c r="N305" s="233">
        <f t="shared" si="95"/>
        <v>0</v>
      </c>
      <c r="O305" s="234">
        <f t="shared" si="96"/>
        <v>0</v>
      </c>
      <c r="P305" s="234">
        <f t="shared" si="97"/>
        <v>0</v>
      </c>
      <c r="Q305" s="1341">
        <v>0</v>
      </c>
    </row>
    <row r="306" spans="1:17" hidden="1" outlineLevel="1">
      <c r="A306" s="190" t="s">
        <v>817</v>
      </c>
      <c r="B306" s="1316" t="s">
        <v>436</v>
      </c>
      <c r="C306" s="1316" t="s">
        <v>591</v>
      </c>
      <c r="D306" s="1317" t="s">
        <v>427</v>
      </c>
      <c r="E306" s="1318">
        <v>1</v>
      </c>
      <c r="F306" s="1319" t="s">
        <v>443</v>
      </c>
      <c r="G306" s="1315">
        <v>2826</v>
      </c>
      <c r="H306" s="238">
        <f t="shared" si="93"/>
        <v>0</v>
      </c>
      <c r="I306" s="1333"/>
      <c r="J306" s="1333"/>
      <c r="K306" s="1334"/>
      <c r="L306" s="1318">
        <v>1</v>
      </c>
      <c r="M306" s="233">
        <f t="shared" si="94"/>
        <v>0</v>
      </c>
      <c r="N306" s="233">
        <f t="shared" si="95"/>
        <v>0</v>
      </c>
      <c r="O306" s="234">
        <f t="shared" si="96"/>
        <v>0</v>
      </c>
      <c r="P306" s="234">
        <f t="shared" si="97"/>
        <v>0</v>
      </c>
      <c r="Q306" s="1341">
        <v>0</v>
      </c>
    </row>
    <row r="307" spans="1:17" hidden="1" outlineLevel="1">
      <c r="A307" s="190" t="s">
        <v>817</v>
      </c>
      <c r="B307" s="1320" t="s">
        <v>436</v>
      </c>
      <c r="C307" s="1320" t="s">
        <v>591</v>
      </c>
      <c r="D307" s="1321" t="s">
        <v>427</v>
      </c>
      <c r="E307" s="1322">
        <v>1</v>
      </c>
      <c r="F307" s="1324" t="s">
        <v>444</v>
      </c>
      <c r="G307" s="1323">
        <v>12014</v>
      </c>
      <c r="H307" s="239">
        <f t="shared" ref="H307:H309" si="102">SUM(I307:K307)</f>
        <v>0</v>
      </c>
      <c r="I307" s="1335"/>
      <c r="J307" s="1335"/>
      <c r="K307" s="1336"/>
      <c r="L307" s="1322">
        <v>1</v>
      </c>
      <c r="M307" s="227">
        <f t="shared" ref="M307:M309" si="103">SUM(N307:P307)-Q307</f>
        <v>0</v>
      </c>
      <c r="N307" s="227">
        <f t="shared" ref="N307:N309" si="104">E307*G307*I307*L307</f>
        <v>0</v>
      </c>
      <c r="O307" s="228">
        <f t="shared" ref="O307:O309" si="105">E307*G307*J307*L307*10</f>
        <v>0</v>
      </c>
      <c r="P307" s="228">
        <f t="shared" ref="P307:P309" si="106">E307*G307*K307*L307*15</f>
        <v>0</v>
      </c>
      <c r="Q307" s="1342">
        <v>0</v>
      </c>
    </row>
    <row r="308" spans="1:17" hidden="1" outlineLevel="1">
      <c r="A308" s="190" t="s">
        <v>817</v>
      </c>
      <c r="B308" s="1316" t="s">
        <v>437</v>
      </c>
      <c r="C308" s="1316" t="s">
        <v>592</v>
      </c>
      <c r="D308" s="1317" t="s">
        <v>427</v>
      </c>
      <c r="E308" s="1318">
        <v>1</v>
      </c>
      <c r="F308" s="1317" t="s">
        <v>868</v>
      </c>
      <c r="G308" s="1315">
        <v>1435</v>
      </c>
      <c r="H308" s="238">
        <f t="shared" si="102"/>
        <v>2.32E-4</v>
      </c>
      <c r="I308" s="1333">
        <v>2.32E-4</v>
      </c>
      <c r="J308" s="1333"/>
      <c r="K308" s="1334"/>
      <c r="L308" s="1318">
        <v>0.5</v>
      </c>
      <c r="M308" s="233">
        <f t="shared" si="103"/>
        <v>0.16646</v>
      </c>
      <c r="N308" s="233">
        <f t="shared" si="104"/>
        <v>0.16646</v>
      </c>
      <c r="O308" s="234">
        <f t="shared" si="105"/>
        <v>0</v>
      </c>
      <c r="P308" s="234">
        <f t="shared" si="106"/>
        <v>0</v>
      </c>
      <c r="Q308" s="1341">
        <v>0</v>
      </c>
    </row>
    <row r="309" spans="1:17" hidden="1" outlineLevel="1">
      <c r="A309" s="190" t="s">
        <v>817</v>
      </c>
      <c r="B309" s="1316" t="s">
        <v>437</v>
      </c>
      <c r="C309" s="1316" t="s">
        <v>592</v>
      </c>
      <c r="D309" s="1317" t="s">
        <v>427</v>
      </c>
      <c r="E309" s="1318">
        <v>1</v>
      </c>
      <c r="F309" s="1319" t="s">
        <v>441</v>
      </c>
      <c r="G309" s="1315">
        <v>552.89</v>
      </c>
      <c r="H309" s="238">
        <f t="shared" si="102"/>
        <v>4.8000000000000001E-4</v>
      </c>
      <c r="I309" s="1333">
        <v>4.8000000000000001E-4</v>
      </c>
      <c r="J309" s="1333"/>
      <c r="K309" s="1334"/>
      <c r="L309" s="1318">
        <v>0.5</v>
      </c>
      <c r="M309" s="233">
        <f t="shared" si="103"/>
        <v>0.13269359999999999</v>
      </c>
      <c r="N309" s="233">
        <f t="shared" si="104"/>
        <v>0.13269359999999999</v>
      </c>
      <c r="O309" s="234">
        <f t="shared" si="105"/>
        <v>0</v>
      </c>
      <c r="P309" s="234">
        <f t="shared" si="106"/>
        <v>0</v>
      </c>
      <c r="Q309" s="1341">
        <v>0</v>
      </c>
    </row>
    <row r="310" spans="1:17" hidden="1" outlineLevel="1">
      <c r="A310" s="190" t="s">
        <v>817</v>
      </c>
      <c r="B310" s="1316" t="s">
        <v>437</v>
      </c>
      <c r="C310" s="1316" t="s">
        <v>592</v>
      </c>
      <c r="D310" s="1317" t="s">
        <v>427</v>
      </c>
      <c r="E310" s="1318">
        <v>1</v>
      </c>
      <c r="F310" s="1319" t="s">
        <v>443</v>
      </c>
      <c r="G310" s="1315">
        <v>2826</v>
      </c>
      <c r="H310" s="238">
        <f t="shared" ref="H310:H311" si="107">SUM(I310:K310)</f>
        <v>1.2400000000000001E-4</v>
      </c>
      <c r="I310" s="1333">
        <v>1.2400000000000001E-4</v>
      </c>
      <c r="J310" s="1333"/>
      <c r="K310" s="1334"/>
      <c r="L310" s="1318">
        <v>0.5</v>
      </c>
      <c r="M310" s="233">
        <f t="shared" ref="M310:M311" si="108">SUM(N310:P310)-Q310</f>
        <v>0.17521200000000001</v>
      </c>
      <c r="N310" s="233">
        <f t="shared" si="88"/>
        <v>0.17521200000000001</v>
      </c>
      <c r="O310" s="234">
        <f t="shared" si="89"/>
        <v>0</v>
      </c>
      <c r="P310" s="234">
        <f t="shared" ref="P310:P311" si="109">E310*G310*K310*L310*15</f>
        <v>0</v>
      </c>
      <c r="Q310" s="1341">
        <v>0</v>
      </c>
    </row>
    <row r="311" spans="1:17" hidden="1" outlineLevel="1">
      <c r="A311" s="190" t="s">
        <v>817</v>
      </c>
      <c r="B311" s="1320" t="s">
        <v>437</v>
      </c>
      <c r="C311" s="1320" t="s">
        <v>592</v>
      </c>
      <c r="D311" s="1321" t="s">
        <v>427</v>
      </c>
      <c r="E311" s="1322">
        <v>1</v>
      </c>
      <c r="F311" s="1324" t="s">
        <v>444</v>
      </c>
      <c r="G311" s="1323">
        <v>12014</v>
      </c>
      <c r="H311" s="239">
        <f t="shared" si="107"/>
        <v>1.2E-5</v>
      </c>
      <c r="I311" s="1335">
        <v>1.2E-5</v>
      </c>
      <c r="J311" s="1335"/>
      <c r="K311" s="1336"/>
      <c r="L311" s="1322">
        <v>0.5</v>
      </c>
      <c r="M311" s="227">
        <f t="shared" si="108"/>
        <v>7.2083999999999995E-2</v>
      </c>
      <c r="N311" s="227">
        <f t="shared" si="88"/>
        <v>7.2083999999999995E-2</v>
      </c>
      <c r="O311" s="228">
        <f t="shared" si="89"/>
        <v>0</v>
      </c>
      <c r="P311" s="228">
        <f t="shared" si="109"/>
        <v>0</v>
      </c>
      <c r="Q311" s="1342">
        <v>0</v>
      </c>
    </row>
    <row r="312" spans="1:17" hidden="1" outlineLevel="1">
      <c r="A312" s="190" t="s">
        <v>817</v>
      </c>
      <c r="B312" s="1316" t="s">
        <v>438</v>
      </c>
      <c r="C312" s="1316" t="s">
        <v>593</v>
      </c>
      <c r="D312" s="1317" t="s">
        <v>427</v>
      </c>
      <c r="E312" s="1318">
        <v>1</v>
      </c>
      <c r="F312" s="1319" t="s">
        <v>868</v>
      </c>
      <c r="G312" s="1315">
        <v>1435</v>
      </c>
      <c r="H312" s="238">
        <f>SUM(I312:K312)</f>
        <v>1.4815999999999999E-2</v>
      </c>
      <c r="I312" s="1333">
        <v>6.9449999999999998E-3</v>
      </c>
      <c r="J312" s="1333">
        <v>7.8709999999999995E-3</v>
      </c>
      <c r="K312" s="1334"/>
      <c r="L312" s="1318">
        <v>1</v>
      </c>
      <c r="M312" s="233">
        <f>SUM(N312:P312)-Q312</f>
        <v>122.914925</v>
      </c>
      <c r="N312" s="233">
        <f t="shared" si="88"/>
        <v>9.966075</v>
      </c>
      <c r="O312" s="234">
        <f t="shared" si="89"/>
        <v>112.94884999999999</v>
      </c>
      <c r="P312" s="234">
        <f>E312*G312*K312*L312*15</f>
        <v>0</v>
      </c>
      <c r="Q312" s="1341">
        <v>0</v>
      </c>
    </row>
    <row r="313" spans="1:17" hidden="1" outlineLevel="1">
      <c r="A313" s="190" t="s">
        <v>817</v>
      </c>
      <c r="B313" s="1316" t="s">
        <v>438</v>
      </c>
      <c r="C313" s="1316" t="s">
        <v>593</v>
      </c>
      <c r="D313" s="1317" t="s">
        <v>427</v>
      </c>
      <c r="E313" s="1318">
        <v>1</v>
      </c>
      <c r="F313" s="1319" t="s">
        <v>441</v>
      </c>
      <c r="G313" s="1315">
        <v>552.89</v>
      </c>
      <c r="H313" s="238">
        <f t="shared" ref="H313:H325" si="110">SUM(I313:K313)</f>
        <v>1.5278999999999999E-2</v>
      </c>
      <c r="I313" s="1333">
        <v>6.9449999999999998E-3</v>
      </c>
      <c r="J313" s="1333">
        <v>8.3339999999999994E-3</v>
      </c>
      <c r="K313" s="1334"/>
      <c r="L313" s="1318">
        <v>1</v>
      </c>
      <c r="M313" s="233">
        <f t="shared" ref="M313:M455" si="111">SUM(N313:P313)-Q313</f>
        <v>49.917673649999998</v>
      </c>
      <c r="N313" s="233">
        <f t="shared" si="88"/>
        <v>3.8398210499999998</v>
      </c>
      <c r="O313" s="234">
        <f t="shared" si="89"/>
        <v>46.0778526</v>
      </c>
      <c r="P313" s="234">
        <f t="shared" ref="P313:P455" si="112">E313*G313*K313*L313*15</f>
        <v>0</v>
      </c>
      <c r="Q313" s="1341">
        <v>0</v>
      </c>
    </row>
    <row r="314" spans="1:17" hidden="1" outlineLevel="1">
      <c r="A314" s="190" t="s">
        <v>817</v>
      </c>
      <c r="B314" s="1316" t="s">
        <v>438</v>
      </c>
      <c r="C314" s="1316" t="s">
        <v>593</v>
      </c>
      <c r="D314" s="1317" t="s">
        <v>427</v>
      </c>
      <c r="E314" s="1318">
        <v>1</v>
      </c>
      <c r="F314" s="1319" t="s">
        <v>442</v>
      </c>
      <c r="G314" s="1315">
        <v>4582</v>
      </c>
      <c r="H314" s="238">
        <f t="shared" ref="H314:H324" si="113">SUM(I314:K314)</f>
        <v>1.111E-3</v>
      </c>
      <c r="I314" s="1333">
        <v>4.6299999999999998E-4</v>
      </c>
      <c r="J314" s="1333">
        <v>6.4800000000000003E-4</v>
      </c>
      <c r="K314" s="1334"/>
      <c r="L314" s="1318">
        <v>1</v>
      </c>
      <c r="M314" s="233">
        <f t="shared" ref="M314:M324" si="114">SUM(N314:P314)-Q314</f>
        <v>31.812826000000001</v>
      </c>
      <c r="N314" s="233">
        <f t="shared" ref="N314:N324" si="115">E314*G314*I314*L314</f>
        <v>2.1214659999999999</v>
      </c>
      <c r="O314" s="234">
        <f t="shared" ref="O314:O324" si="116">E314*G314*J314*L314*10</f>
        <v>29.691360000000003</v>
      </c>
      <c r="P314" s="234">
        <f t="shared" ref="P314:P324" si="117">E314*G314*K314*L314*15</f>
        <v>0</v>
      </c>
      <c r="Q314" s="1341">
        <v>0</v>
      </c>
    </row>
    <row r="315" spans="1:17" hidden="1" outlineLevel="1">
      <c r="A315" s="190" t="s">
        <v>817</v>
      </c>
      <c r="B315" s="1316" t="s">
        <v>438</v>
      </c>
      <c r="C315" s="1316" t="s">
        <v>593</v>
      </c>
      <c r="D315" s="1317" t="s">
        <v>427</v>
      </c>
      <c r="E315" s="1318">
        <v>1</v>
      </c>
      <c r="F315" s="1319" t="s">
        <v>443</v>
      </c>
      <c r="G315" s="1315">
        <v>2826</v>
      </c>
      <c r="H315" s="238">
        <f t="shared" si="113"/>
        <v>9.2599999999999991E-3</v>
      </c>
      <c r="I315" s="1333">
        <v>6.9449999999999998E-3</v>
      </c>
      <c r="J315" s="1333">
        <v>2.3149999999999998E-3</v>
      </c>
      <c r="K315" s="1334"/>
      <c r="L315" s="1318">
        <v>1</v>
      </c>
      <c r="M315" s="233">
        <f t="shared" si="114"/>
        <v>85.048469999999995</v>
      </c>
      <c r="N315" s="233">
        <f t="shared" si="115"/>
        <v>19.626570000000001</v>
      </c>
      <c r="O315" s="234">
        <f t="shared" si="116"/>
        <v>65.421899999999994</v>
      </c>
      <c r="P315" s="234">
        <f t="shared" si="117"/>
        <v>0</v>
      </c>
      <c r="Q315" s="1341">
        <v>0</v>
      </c>
    </row>
    <row r="316" spans="1:17" hidden="1" outlineLevel="1">
      <c r="A316" s="190" t="s">
        <v>817</v>
      </c>
      <c r="B316" s="1316" t="s">
        <v>438</v>
      </c>
      <c r="C316" s="1316" t="s">
        <v>593</v>
      </c>
      <c r="D316" s="1317" t="s">
        <v>427</v>
      </c>
      <c r="E316" s="1318">
        <v>1</v>
      </c>
      <c r="F316" s="1319" t="s">
        <v>444</v>
      </c>
      <c r="G316" s="1315">
        <v>12014</v>
      </c>
      <c r="H316" s="238">
        <f t="shared" si="113"/>
        <v>1.6670000000000001E-3</v>
      </c>
      <c r="I316" s="1333">
        <v>2.32E-4</v>
      </c>
      <c r="J316" s="1333">
        <v>1.4350000000000001E-3</v>
      </c>
      <c r="K316" s="1334"/>
      <c r="L316" s="1318">
        <v>1</v>
      </c>
      <c r="M316" s="233">
        <f t="shared" si="114"/>
        <v>175.18814800000004</v>
      </c>
      <c r="N316" s="233">
        <f t="shared" si="115"/>
        <v>2.7872479999999999</v>
      </c>
      <c r="O316" s="234">
        <f t="shared" si="116"/>
        <v>172.40090000000004</v>
      </c>
      <c r="P316" s="234">
        <f t="shared" si="117"/>
        <v>0</v>
      </c>
      <c r="Q316" s="1341">
        <v>0</v>
      </c>
    </row>
    <row r="317" spans="1:17" hidden="1" outlineLevel="1">
      <c r="A317" s="190" t="s">
        <v>817</v>
      </c>
      <c r="B317" s="1320" t="s">
        <v>438</v>
      </c>
      <c r="C317" s="1320" t="s">
        <v>593</v>
      </c>
      <c r="D317" s="1321" t="s">
        <v>427</v>
      </c>
      <c r="E317" s="1322">
        <v>1</v>
      </c>
      <c r="F317" s="1324" t="s">
        <v>445</v>
      </c>
      <c r="G317" s="1323">
        <v>24326</v>
      </c>
      <c r="H317" s="239">
        <f t="shared" si="113"/>
        <v>0</v>
      </c>
      <c r="I317" s="1335"/>
      <c r="J317" s="1335"/>
      <c r="K317" s="1336"/>
      <c r="L317" s="1322">
        <v>1</v>
      </c>
      <c r="M317" s="227">
        <f t="shared" si="114"/>
        <v>0</v>
      </c>
      <c r="N317" s="227">
        <f t="shared" si="115"/>
        <v>0</v>
      </c>
      <c r="O317" s="228">
        <f t="shared" si="116"/>
        <v>0</v>
      </c>
      <c r="P317" s="228">
        <f t="shared" si="117"/>
        <v>0</v>
      </c>
      <c r="Q317" s="1342">
        <v>0</v>
      </c>
    </row>
    <row r="318" spans="1:17" hidden="1" outlineLevel="1">
      <c r="A318" s="190" t="s">
        <v>817</v>
      </c>
      <c r="B318" s="1316" t="s">
        <v>418</v>
      </c>
      <c r="C318" s="1316" t="s">
        <v>439</v>
      </c>
      <c r="D318" s="1317" t="s">
        <v>427</v>
      </c>
      <c r="E318" s="1318">
        <v>1.5</v>
      </c>
      <c r="F318" s="1319" t="s">
        <v>868</v>
      </c>
      <c r="G318" s="1315">
        <v>1435</v>
      </c>
      <c r="H318" s="238">
        <f t="shared" si="113"/>
        <v>1.0992E-2</v>
      </c>
      <c r="I318" s="1333">
        <v>1.0992E-2</v>
      </c>
      <c r="J318" s="1333"/>
      <c r="K318" s="1334"/>
      <c r="L318" s="1318">
        <v>0.5</v>
      </c>
      <c r="M318" s="233">
        <f t="shared" si="114"/>
        <v>11.83014</v>
      </c>
      <c r="N318" s="233">
        <f t="shared" si="115"/>
        <v>11.83014</v>
      </c>
      <c r="O318" s="234">
        <f t="shared" si="116"/>
        <v>0</v>
      </c>
      <c r="P318" s="234">
        <f t="shared" si="117"/>
        <v>0</v>
      </c>
      <c r="Q318" s="1341">
        <v>0</v>
      </c>
    </row>
    <row r="319" spans="1:17" hidden="1" outlineLevel="1">
      <c r="A319" s="190" t="s">
        <v>817</v>
      </c>
      <c r="B319" s="1316" t="s">
        <v>418</v>
      </c>
      <c r="C319" s="1316" t="s">
        <v>439</v>
      </c>
      <c r="D319" s="1317" t="s">
        <v>427</v>
      </c>
      <c r="E319" s="1318">
        <v>1.5</v>
      </c>
      <c r="F319" s="1319" t="s">
        <v>441</v>
      </c>
      <c r="G319" s="1315">
        <v>552.89</v>
      </c>
      <c r="H319" s="238">
        <f t="shared" si="113"/>
        <v>5.496E-3</v>
      </c>
      <c r="I319" s="1333">
        <v>5.496E-3</v>
      </c>
      <c r="J319" s="1333"/>
      <c r="K319" s="1334"/>
      <c r="L319" s="1318">
        <v>0.5</v>
      </c>
      <c r="M319" s="233">
        <f t="shared" si="114"/>
        <v>2.2790125800000003</v>
      </c>
      <c r="N319" s="233">
        <f t="shared" si="115"/>
        <v>2.2790125800000003</v>
      </c>
      <c r="O319" s="234">
        <f t="shared" si="116"/>
        <v>0</v>
      </c>
      <c r="P319" s="234">
        <f t="shared" si="117"/>
        <v>0</v>
      </c>
      <c r="Q319" s="1341">
        <v>0</v>
      </c>
    </row>
    <row r="320" spans="1:17" hidden="1" outlineLevel="1">
      <c r="A320" s="190" t="s">
        <v>817</v>
      </c>
      <c r="B320" s="1316" t="s">
        <v>418</v>
      </c>
      <c r="C320" s="1316" t="s">
        <v>439</v>
      </c>
      <c r="D320" s="1317" t="s">
        <v>427</v>
      </c>
      <c r="E320" s="1318">
        <v>1.5</v>
      </c>
      <c r="F320" s="1319" t="s">
        <v>442</v>
      </c>
      <c r="G320" s="1315">
        <v>4582</v>
      </c>
      <c r="H320" s="238">
        <f t="shared" si="113"/>
        <v>0</v>
      </c>
      <c r="I320" s="1333"/>
      <c r="J320" s="1333"/>
      <c r="K320" s="1334"/>
      <c r="L320" s="1318">
        <v>0.5</v>
      </c>
      <c r="M320" s="233">
        <f t="shared" si="114"/>
        <v>0</v>
      </c>
      <c r="N320" s="233">
        <f t="shared" si="115"/>
        <v>0</v>
      </c>
      <c r="O320" s="234">
        <f t="shared" si="116"/>
        <v>0</v>
      </c>
      <c r="P320" s="234">
        <f t="shared" si="117"/>
        <v>0</v>
      </c>
      <c r="Q320" s="1341">
        <v>0</v>
      </c>
    </row>
    <row r="321" spans="1:18" hidden="1" outlineLevel="1">
      <c r="A321" s="190" t="s">
        <v>817</v>
      </c>
      <c r="B321" s="1316" t="s">
        <v>418</v>
      </c>
      <c r="C321" s="1316" t="s">
        <v>439</v>
      </c>
      <c r="D321" s="1317" t="s">
        <v>427</v>
      </c>
      <c r="E321" s="1318">
        <v>1.5</v>
      </c>
      <c r="F321" s="1319" t="s">
        <v>443</v>
      </c>
      <c r="G321" s="1315">
        <v>2826</v>
      </c>
      <c r="H321" s="238">
        <f t="shared" si="113"/>
        <v>1.6487999999999999E-2</v>
      </c>
      <c r="I321" s="1333">
        <v>1.6487999999999999E-2</v>
      </c>
      <c r="J321" s="1333"/>
      <c r="K321" s="1334"/>
      <c r="L321" s="1318">
        <v>0.5</v>
      </c>
      <c r="M321" s="233">
        <f t="shared" si="114"/>
        <v>34.946315999999996</v>
      </c>
      <c r="N321" s="233">
        <f t="shared" si="115"/>
        <v>34.946315999999996</v>
      </c>
      <c r="O321" s="234">
        <f t="shared" si="116"/>
        <v>0</v>
      </c>
      <c r="P321" s="234">
        <f t="shared" si="117"/>
        <v>0</v>
      </c>
      <c r="Q321" s="1341">
        <v>0</v>
      </c>
    </row>
    <row r="322" spans="1:18" hidden="1" outlineLevel="1">
      <c r="A322" s="190" t="s">
        <v>817</v>
      </c>
      <c r="B322" s="1316" t="s">
        <v>418</v>
      </c>
      <c r="C322" s="1316" t="s">
        <v>439</v>
      </c>
      <c r="D322" s="1317" t="s">
        <v>427</v>
      </c>
      <c r="E322" s="1318">
        <v>1.5</v>
      </c>
      <c r="F322" s="1319" t="s">
        <v>444</v>
      </c>
      <c r="G322" s="1315">
        <v>12014</v>
      </c>
      <c r="H322" s="238">
        <f t="shared" si="113"/>
        <v>1.2229999999999999E-3</v>
      </c>
      <c r="I322" s="1333">
        <v>1.2229999999999999E-3</v>
      </c>
      <c r="J322" s="1333"/>
      <c r="K322" s="1334"/>
      <c r="L322" s="1318">
        <v>0.5</v>
      </c>
      <c r="M322" s="233">
        <f t="shared" si="114"/>
        <v>11.0198415</v>
      </c>
      <c r="N322" s="233">
        <f t="shared" si="115"/>
        <v>11.0198415</v>
      </c>
      <c r="O322" s="234">
        <f t="shared" si="116"/>
        <v>0</v>
      </c>
      <c r="P322" s="234">
        <f t="shared" si="117"/>
        <v>0</v>
      </c>
      <c r="Q322" s="1341">
        <v>0</v>
      </c>
    </row>
    <row r="323" spans="1:18" hidden="1" outlineLevel="1">
      <c r="A323" s="190" t="s">
        <v>817</v>
      </c>
      <c r="B323" s="1320" t="s">
        <v>418</v>
      </c>
      <c r="C323" s="1320" t="s">
        <v>439</v>
      </c>
      <c r="D323" s="1321" t="s">
        <v>427</v>
      </c>
      <c r="E323" s="1322">
        <v>1.5</v>
      </c>
      <c r="F323" s="1324" t="s">
        <v>445</v>
      </c>
      <c r="G323" s="1323">
        <v>24326</v>
      </c>
      <c r="H323" s="239">
        <f t="shared" si="113"/>
        <v>0</v>
      </c>
      <c r="I323" s="1335"/>
      <c r="J323" s="1335"/>
      <c r="K323" s="1336"/>
      <c r="L323" s="1322">
        <v>0.5</v>
      </c>
      <c r="M323" s="227">
        <f t="shared" si="114"/>
        <v>0</v>
      </c>
      <c r="N323" s="227">
        <f t="shared" si="115"/>
        <v>0</v>
      </c>
      <c r="O323" s="228">
        <f t="shared" si="116"/>
        <v>0</v>
      </c>
      <c r="P323" s="228">
        <f t="shared" si="117"/>
        <v>0</v>
      </c>
      <c r="Q323" s="1342">
        <v>0</v>
      </c>
    </row>
    <row r="324" spans="1:18" hidden="1" outlineLevel="1">
      <c r="A324" s="190" t="s">
        <v>817</v>
      </c>
      <c r="B324" s="1316" t="s">
        <v>411</v>
      </c>
      <c r="C324" s="1316" t="s">
        <v>440</v>
      </c>
      <c r="D324" s="1317" t="s">
        <v>427</v>
      </c>
      <c r="E324" s="1318">
        <v>1.5</v>
      </c>
      <c r="F324" s="1319" t="s">
        <v>868</v>
      </c>
      <c r="G324" s="1315">
        <v>1435</v>
      </c>
      <c r="H324" s="238">
        <f t="shared" si="113"/>
        <v>4.666E-3</v>
      </c>
      <c r="I324" s="1333">
        <v>4.666E-3</v>
      </c>
      <c r="J324" s="1333"/>
      <c r="K324" s="1334"/>
      <c r="L324" s="1318">
        <v>0.5</v>
      </c>
      <c r="M324" s="233">
        <f t="shared" si="114"/>
        <v>5.0217824999999996</v>
      </c>
      <c r="N324" s="233">
        <f t="shared" si="115"/>
        <v>5.0217824999999996</v>
      </c>
      <c r="O324" s="234">
        <f t="shared" si="116"/>
        <v>0</v>
      </c>
      <c r="P324" s="234">
        <f t="shared" si="117"/>
        <v>0</v>
      </c>
      <c r="Q324" s="1341">
        <v>0</v>
      </c>
    </row>
    <row r="325" spans="1:18" hidden="1" outlineLevel="1">
      <c r="A325" s="190" t="s">
        <v>817</v>
      </c>
      <c r="B325" s="1316" t="s">
        <v>411</v>
      </c>
      <c r="C325" s="1316" t="s">
        <v>440</v>
      </c>
      <c r="D325" s="1317" t="s">
        <v>427</v>
      </c>
      <c r="E325" s="1318">
        <v>1.5</v>
      </c>
      <c r="F325" s="1317" t="s">
        <v>441</v>
      </c>
      <c r="G325" s="1315">
        <v>552.89</v>
      </c>
      <c r="H325" s="238">
        <f t="shared" si="110"/>
        <v>9.7199999999999995E-3</v>
      </c>
      <c r="I325" s="1333">
        <v>9.7199999999999995E-3</v>
      </c>
      <c r="J325" s="1333"/>
      <c r="K325" s="1334"/>
      <c r="L325" s="1318">
        <v>0.5</v>
      </c>
      <c r="M325" s="233">
        <f t="shared" si="111"/>
        <v>4.0305681</v>
      </c>
      <c r="N325" s="233">
        <f t="shared" si="88"/>
        <v>4.0305681</v>
      </c>
      <c r="O325" s="234">
        <f t="shared" si="89"/>
        <v>0</v>
      </c>
      <c r="P325" s="234">
        <f t="shared" si="112"/>
        <v>0</v>
      </c>
      <c r="Q325" s="1341">
        <v>0</v>
      </c>
    </row>
    <row r="326" spans="1:18" hidden="1" outlineLevel="1">
      <c r="A326" s="190" t="s">
        <v>817</v>
      </c>
      <c r="B326" s="1316" t="s">
        <v>411</v>
      </c>
      <c r="C326" s="1316" t="s">
        <v>440</v>
      </c>
      <c r="D326" s="1317" t="s">
        <v>427</v>
      </c>
      <c r="E326" s="1318">
        <v>1.5</v>
      </c>
      <c r="F326" s="1319" t="s">
        <v>442</v>
      </c>
      <c r="G326" s="1315">
        <v>4582</v>
      </c>
      <c r="H326" s="238">
        <f>SUM(I326:K326)</f>
        <v>0</v>
      </c>
      <c r="I326" s="1333"/>
      <c r="J326" s="1333"/>
      <c r="K326" s="1334"/>
      <c r="L326" s="1318">
        <v>0.5</v>
      </c>
      <c r="M326" s="233">
        <f t="shared" si="111"/>
        <v>0</v>
      </c>
      <c r="N326" s="233">
        <f t="shared" si="88"/>
        <v>0</v>
      </c>
      <c r="O326" s="234">
        <f t="shared" si="89"/>
        <v>0</v>
      </c>
      <c r="P326" s="234">
        <f t="shared" si="112"/>
        <v>0</v>
      </c>
      <c r="Q326" s="1341">
        <v>0</v>
      </c>
    </row>
    <row r="327" spans="1:18" hidden="1" outlineLevel="1">
      <c r="A327" s="190" t="s">
        <v>817</v>
      </c>
      <c r="B327" s="1316" t="s">
        <v>411</v>
      </c>
      <c r="C327" s="1316" t="s">
        <v>440</v>
      </c>
      <c r="D327" s="1317" t="s">
        <v>427</v>
      </c>
      <c r="E327" s="1318">
        <v>1.5</v>
      </c>
      <c r="F327" s="1319" t="s">
        <v>443</v>
      </c>
      <c r="G327" s="1315">
        <v>2826</v>
      </c>
      <c r="H327" s="238">
        <f t="shared" ref="H327:H455" si="118">SUM(I327:K327)</f>
        <v>2.0899999999999998E-3</v>
      </c>
      <c r="I327" s="1333">
        <v>2.0899999999999998E-3</v>
      </c>
      <c r="J327" s="1333"/>
      <c r="K327" s="1334"/>
      <c r="L327" s="1318">
        <v>0.5</v>
      </c>
      <c r="M327" s="233">
        <f t="shared" si="111"/>
        <v>4.4297550000000001</v>
      </c>
      <c r="N327" s="233">
        <f t="shared" si="88"/>
        <v>4.4297550000000001</v>
      </c>
      <c r="O327" s="234">
        <f t="shared" si="89"/>
        <v>0</v>
      </c>
      <c r="P327" s="234">
        <f t="shared" si="112"/>
        <v>0</v>
      </c>
      <c r="Q327" s="1341">
        <v>0</v>
      </c>
    </row>
    <row r="328" spans="1:18" hidden="1" outlineLevel="1">
      <c r="A328" s="190" t="s">
        <v>817</v>
      </c>
      <c r="B328" s="1320" t="s">
        <v>411</v>
      </c>
      <c r="C328" s="1320" t="s">
        <v>440</v>
      </c>
      <c r="D328" s="1321" t="s">
        <v>427</v>
      </c>
      <c r="E328" s="1322">
        <v>1.5</v>
      </c>
      <c r="F328" s="1324" t="s">
        <v>444</v>
      </c>
      <c r="G328" s="1323">
        <v>12014</v>
      </c>
      <c r="H328" s="239">
        <f t="shared" si="118"/>
        <v>4.28E-4</v>
      </c>
      <c r="I328" s="1335">
        <v>4.28E-4</v>
      </c>
      <c r="J328" s="1335"/>
      <c r="K328" s="1336"/>
      <c r="L328" s="1322">
        <v>0.5</v>
      </c>
      <c r="M328" s="227">
        <f t="shared" si="111"/>
        <v>3.8564940000000001</v>
      </c>
      <c r="N328" s="227">
        <f t="shared" si="88"/>
        <v>3.8564940000000001</v>
      </c>
      <c r="O328" s="228">
        <f t="shared" si="89"/>
        <v>0</v>
      </c>
      <c r="P328" s="228">
        <f t="shared" si="112"/>
        <v>0</v>
      </c>
      <c r="Q328" s="1342">
        <v>0</v>
      </c>
    </row>
    <row r="329" spans="1:18" hidden="1" outlineLevel="1">
      <c r="A329" s="190" t="s">
        <v>817</v>
      </c>
      <c r="B329" s="1316" t="s">
        <v>409</v>
      </c>
      <c r="C329" s="1316" t="s">
        <v>594</v>
      </c>
      <c r="D329" s="1317" t="s">
        <v>427</v>
      </c>
      <c r="E329" s="1318">
        <v>1</v>
      </c>
      <c r="F329" s="1319" t="s">
        <v>868</v>
      </c>
      <c r="G329" s="1315">
        <v>1435</v>
      </c>
      <c r="H329" s="238">
        <f t="shared" si="118"/>
        <v>2.3990999999999998E-2</v>
      </c>
      <c r="I329" s="1333">
        <v>2.3990999999999998E-2</v>
      </c>
      <c r="J329" s="1333"/>
      <c r="K329" s="1334"/>
      <c r="L329" s="1318">
        <v>0.5</v>
      </c>
      <c r="M329" s="233">
        <f t="shared" si="111"/>
        <v>17.213542499999999</v>
      </c>
      <c r="N329" s="233">
        <f t="shared" si="88"/>
        <v>17.213542499999999</v>
      </c>
      <c r="O329" s="234">
        <f t="shared" si="89"/>
        <v>0</v>
      </c>
      <c r="P329" s="234">
        <f t="shared" si="112"/>
        <v>0</v>
      </c>
      <c r="Q329" s="1341">
        <v>0</v>
      </c>
    </row>
    <row r="330" spans="1:18" hidden="1" outlineLevel="1">
      <c r="A330" s="190" t="s">
        <v>817</v>
      </c>
      <c r="B330" s="1316" t="s">
        <v>409</v>
      </c>
      <c r="C330" s="1316" t="s">
        <v>594</v>
      </c>
      <c r="D330" s="1317" t="s">
        <v>427</v>
      </c>
      <c r="E330" s="1318">
        <v>1</v>
      </c>
      <c r="F330" s="1317" t="s">
        <v>441</v>
      </c>
      <c r="G330" s="1315">
        <v>552.89</v>
      </c>
      <c r="H330" s="238">
        <f t="shared" si="118"/>
        <v>2.181E-2</v>
      </c>
      <c r="I330" s="1333">
        <v>2.181E-2</v>
      </c>
      <c r="J330" s="1333"/>
      <c r="K330" s="1334"/>
      <c r="L330" s="1318">
        <v>0.5</v>
      </c>
      <c r="M330" s="233">
        <f t="shared" si="111"/>
        <v>6.0292654499999996</v>
      </c>
      <c r="N330" s="233">
        <f t="shared" si="88"/>
        <v>6.0292654499999996</v>
      </c>
      <c r="O330" s="234">
        <f t="shared" si="89"/>
        <v>0</v>
      </c>
      <c r="P330" s="234">
        <f t="shared" si="112"/>
        <v>0</v>
      </c>
      <c r="Q330" s="1341">
        <v>0</v>
      </c>
    </row>
    <row r="331" spans="1:18" hidden="1" outlineLevel="1">
      <c r="A331" s="190" t="s">
        <v>817</v>
      </c>
      <c r="B331" s="1316" t="s">
        <v>409</v>
      </c>
      <c r="C331" s="1316" t="s">
        <v>594</v>
      </c>
      <c r="D331" s="1317" t="s">
        <v>427</v>
      </c>
      <c r="E331" s="1318">
        <v>1</v>
      </c>
      <c r="F331" s="1319" t="s">
        <v>442</v>
      </c>
      <c r="G331" s="1315">
        <v>4582</v>
      </c>
      <c r="H331" s="238">
        <f t="shared" si="118"/>
        <v>0</v>
      </c>
      <c r="I331" s="1333"/>
      <c r="J331" s="1333"/>
      <c r="K331" s="1334"/>
      <c r="L331" s="1318">
        <v>0.5</v>
      </c>
      <c r="M331" s="233">
        <f t="shared" si="111"/>
        <v>0</v>
      </c>
      <c r="N331" s="233">
        <f t="shared" si="88"/>
        <v>0</v>
      </c>
      <c r="O331" s="234">
        <f t="shared" si="89"/>
        <v>0</v>
      </c>
      <c r="P331" s="234">
        <f t="shared" si="112"/>
        <v>0</v>
      </c>
      <c r="Q331" s="1341">
        <v>0</v>
      </c>
    </row>
    <row r="332" spans="1:18" hidden="1" outlineLevel="1">
      <c r="A332" s="190" t="s">
        <v>817</v>
      </c>
      <c r="B332" s="1316" t="s">
        <v>409</v>
      </c>
      <c r="C332" s="1316" t="s">
        <v>594</v>
      </c>
      <c r="D332" s="1317" t="s">
        <v>427</v>
      </c>
      <c r="E332" s="1318">
        <v>1</v>
      </c>
      <c r="F332" s="1319" t="s">
        <v>443</v>
      </c>
      <c r="G332" s="1315">
        <v>2826</v>
      </c>
      <c r="H332" s="238">
        <f t="shared" si="118"/>
        <v>1.5994000000000001E-2</v>
      </c>
      <c r="I332" s="1333">
        <v>1.5994000000000001E-2</v>
      </c>
      <c r="J332" s="1333"/>
      <c r="K332" s="1334"/>
      <c r="L332" s="1318">
        <v>0.5</v>
      </c>
      <c r="M332" s="235">
        <f t="shared" si="111"/>
        <v>22.599522</v>
      </c>
      <c r="N332" s="233">
        <f t="shared" si="88"/>
        <v>22.599522</v>
      </c>
      <c r="O332" s="234">
        <f t="shared" si="89"/>
        <v>0</v>
      </c>
      <c r="P332" s="234">
        <f t="shared" si="112"/>
        <v>0</v>
      </c>
      <c r="Q332" s="1341">
        <v>0</v>
      </c>
    </row>
    <row r="333" spans="1:18" hidden="1" outlineLevel="1">
      <c r="A333" s="191" t="s">
        <v>817</v>
      </c>
      <c r="B333" s="1320" t="s">
        <v>409</v>
      </c>
      <c r="C333" s="1320" t="s">
        <v>594</v>
      </c>
      <c r="D333" s="1321" t="s">
        <v>427</v>
      </c>
      <c r="E333" s="1322">
        <v>1</v>
      </c>
      <c r="F333" s="1324" t="s">
        <v>444</v>
      </c>
      <c r="G333" s="1323">
        <v>12014</v>
      </c>
      <c r="H333" s="239">
        <f t="shared" si="118"/>
        <v>2.3990000000000001E-3</v>
      </c>
      <c r="I333" s="1335">
        <v>2.3990000000000001E-3</v>
      </c>
      <c r="J333" s="1335"/>
      <c r="K333" s="1336"/>
      <c r="L333" s="1322">
        <v>0.5</v>
      </c>
      <c r="M333" s="267">
        <f t="shared" si="111"/>
        <v>14.410793</v>
      </c>
      <c r="N333" s="227">
        <f t="shared" si="88"/>
        <v>14.410793</v>
      </c>
      <c r="O333" s="228">
        <f t="shared" si="89"/>
        <v>0</v>
      </c>
      <c r="P333" s="228">
        <f t="shared" si="112"/>
        <v>0</v>
      </c>
      <c r="Q333" s="1342">
        <v>0</v>
      </c>
      <c r="R333" s="512">
        <f>SUM(M294:M333)</f>
        <v>1555.7377176699999</v>
      </c>
    </row>
    <row r="334" spans="1:18" hidden="1" outlineLevel="1">
      <c r="A334" s="190" t="s">
        <v>817</v>
      </c>
      <c r="B334" s="1316" t="s">
        <v>434</v>
      </c>
      <c r="C334" s="1316" t="s">
        <v>435</v>
      </c>
      <c r="D334" s="1317" t="s">
        <v>431</v>
      </c>
      <c r="E334" s="1318">
        <v>1</v>
      </c>
      <c r="F334" s="1317" t="s">
        <v>868</v>
      </c>
      <c r="G334" s="1315">
        <v>1435</v>
      </c>
      <c r="H334" s="238">
        <f t="shared" si="118"/>
        <v>3.8866999999999999E-2</v>
      </c>
      <c r="I334" s="1333">
        <v>3.8866999999999999E-2</v>
      </c>
      <c r="J334" s="1333"/>
      <c r="K334" s="1334"/>
      <c r="L334" s="1318">
        <v>1</v>
      </c>
      <c r="M334" s="233">
        <f t="shared" si="111"/>
        <v>55.774144999999997</v>
      </c>
      <c r="N334" s="233">
        <f t="shared" si="88"/>
        <v>55.774144999999997</v>
      </c>
      <c r="O334" s="234">
        <f t="shared" si="89"/>
        <v>0</v>
      </c>
      <c r="P334" s="234">
        <f t="shared" si="112"/>
        <v>0</v>
      </c>
      <c r="Q334" s="1341">
        <v>0</v>
      </c>
    </row>
    <row r="335" spans="1:18" hidden="1" outlineLevel="1">
      <c r="A335" s="190" t="s">
        <v>817</v>
      </c>
      <c r="B335" s="1316" t="s">
        <v>434</v>
      </c>
      <c r="C335" s="1316" t="s">
        <v>435</v>
      </c>
      <c r="D335" s="1317" t="s">
        <v>431</v>
      </c>
      <c r="E335" s="1318">
        <v>1</v>
      </c>
      <c r="F335" s="1319" t="s">
        <v>441</v>
      </c>
      <c r="G335" s="1315">
        <v>552.89</v>
      </c>
      <c r="H335" s="238">
        <f t="shared" si="118"/>
        <v>0.123669</v>
      </c>
      <c r="I335" s="1333">
        <v>0.123669</v>
      </c>
      <c r="J335" s="1333"/>
      <c r="K335" s="1334"/>
      <c r="L335" s="1318">
        <v>1</v>
      </c>
      <c r="M335" s="233">
        <f t="shared" si="111"/>
        <v>68.375353410000002</v>
      </c>
      <c r="N335" s="233">
        <f t="shared" si="88"/>
        <v>68.375353410000002</v>
      </c>
      <c r="O335" s="234">
        <f t="shared" si="89"/>
        <v>0</v>
      </c>
      <c r="P335" s="234">
        <f t="shared" si="112"/>
        <v>0</v>
      </c>
      <c r="Q335" s="1341">
        <v>0</v>
      </c>
    </row>
    <row r="336" spans="1:18" hidden="1" outlineLevel="1">
      <c r="A336" s="190" t="s">
        <v>817</v>
      </c>
      <c r="B336" s="1316" t="s">
        <v>434</v>
      </c>
      <c r="C336" s="1316" t="s">
        <v>435</v>
      </c>
      <c r="D336" s="1317" t="s">
        <v>431</v>
      </c>
      <c r="E336" s="1318">
        <v>1</v>
      </c>
      <c r="F336" s="1319" t="s">
        <v>442</v>
      </c>
      <c r="G336" s="1315">
        <v>4582</v>
      </c>
      <c r="H336" s="238">
        <f t="shared" si="118"/>
        <v>0</v>
      </c>
      <c r="I336" s="1333"/>
      <c r="J336" s="1333"/>
      <c r="K336" s="1334"/>
      <c r="L336" s="1318">
        <v>1</v>
      </c>
      <c r="M336" s="233">
        <f t="shared" si="111"/>
        <v>0</v>
      </c>
      <c r="N336" s="233">
        <f t="shared" si="88"/>
        <v>0</v>
      </c>
      <c r="O336" s="234">
        <f t="shared" si="89"/>
        <v>0</v>
      </c>
      <c r="P336" s="234">
        <f t="shared" si="112"/>
        <v>0</v>
      </c>
      <c r="Q336" s="1341">
        <v>0</v>
      </c>
    </row>
    <row r="337" spans="1:18" hidden="1" outlineLevel="1">
      <c r="A337" s="190" t="s">
        <v>817</v>
      </c>
      <c r="B337" s="1316" t="s">
        <v>434</v>
      </c>
      <c r="C337" s="1316" t="s">
        <v>435</v>
      </c>
      <c r="D337" s="1317" t="s">
        <v>431</v>
      </c>
      <c r="E337" s="1318">
        <v>1</v>
      </c>
      <c r="F337" s="1319" t="s">
        <v>443</v>
      </c>
      <c r="G337" s="1315">
        <v>2826</v>
      </c>
      <c r="H337" s="238">
        <f t="shared" si="118"/>
        <v>0.14133599999999999</v>
      </c>
      <c r="I337" s="1333">
        <v>0.14133599999999999</v>
      </c>
      <c r="J337" s="1333"/>
      <c r="K337" s="1334"/>
      <c r="L337" s="1318">
        <v>1</v>
      </c>
      <c r="M337" s="233">
        <f t="shared" si="111"/>
        <v>399.41553599999997</v>
      </c>
      <c r="N337" s="233">
        <f t="shared" si="88"/>
        <v>399.41553599999997</v>
      </c>
      <c r="O337" s="234">
        <f t="shared" si="89"/>
        <v>0</v>
      </c>
      <c r="P337" s="234">
        <f t="shared" si="112"/>
        <v>0</v>
      </c>
      <c r="Q337" s="1341">
        <v>0</v>
      </c>
      <c r="R337" s="177"/>
    </row>
    <row r="338" spans="1:18" hidden="1" outlineLevel="1">
      <c r="A338" s="190" t="s">
        <v>817</v>
      </c>
      <c r="B338" s="1316" t="s">
        <v>434</v>
      </c>
      <c r="C338" s="1316" t="s">
        <v>435</v>
      </c>
      <c r="D338" s="1317" t="s">
        <v>431</v>
      </c>
      <c r="E338" s="1318">
        <v>1</v>
      </c>
      <c r="F338" s="1317" t="s">
        <v>444</v>
      </c>
      <c r="G338" s="1315">
        <v>12014</v>
      </c>
      <c r="H338" s="238">
        <f t="shared" si="118"/>
        <v>3.7100999999999995E-2</v>
      </c>
      <c r="I338" s="1333">
        <v>1.1778E-2</v>
      </c>
      <c r="J338" s="1333">
        <v>2.5322999999999998E-2</v>
      </c>
      <c r="K338" s="1334"/>
      <c r="L338" s="1318">
        <v>1</v>
      </c>
      <c r="M338" s="233">
        <f t="shared" si="111"/>
        <v>3183.8061120000002</v>
      </c>
      <c r="N338" s="233">
        <f t="shared" si="88"/>
        <v>141.50089199999999</v>
      </c>
      <c r="O338" s="234">
        <f t="shared" si="89"/>
        <v>3042.3052200000002</v>
      </c>
      <c r="P338" s="234">
        <f t="shared" si="112"/>
        <v>0</v>
      </c>
      <c r="Q338" s="1341">
        <v>0</v>
      </c>
      <c r="R338" s="177"/>
    </row>
    <row r="339" spans="1:18" hidden="1" outlineLevel="1">
      <c r="A339" s="190" t="s">
        <v>817</v>
      </c>
      <c r="B339" s="1320" t="s">
        <v>434</v>
      </c>
      <c r="C339" s="1320" t="s">
        <v>435</v>
      </c>
      <c r="D339" s="1321" t="s">
        <v>431</v>
      </c>
      <c r="E339" s="1322">
        <v>1</v>
      </c>
      <c r="F339" s="1324" t="s">
        <v>445</v>
      </c>
      <c r="G339" s="1323">
        <v>24326</v>
      </c>
      <c r="H339" s="239">
        <f t="shared" si="118"/>
        <v>0</v>
      </c>
      <c r="I339" s="1335"/>
      <c r="J339" s="1335"/>
      <c r="K339" s="1336"/>
      <c r="L339" s="1322">
        <v>1</v>
      </c>
      <c r="M339" s="227">
        <f t="shared" si="111"/>
        <v>0</v>
      </c>
      <c r="N339" s="227">
        <f t="shared" si="88"/>
        <v>0</v>
      </c>
      <c r="O339" s="228">
        <f t="shared" si="89"/>
        <v>0</v>
      </c>
      <c r="P339" s="228">
        <f t="shared" si="112"/>
        <v>0</v>
      </c>
      <c r="Q339" s="1342">
        <v>0</v>
      </c>
      <c r="R339" s="177"/>
    </row>
    <row r="340" spans="1:18" hidden="1" outlineLevel="1">
      <c r="A340" s="190" t="s">
        <v>817</v>
      </c>
      <c r="B340" s="1308" t="s">
        <v>869</v>
      </c>
      <c r="C340" s="1308" t="s">
        <v>870</v>
      </c>
      <c r="D340" s="1309" t="s">
        <v>431</v>
      </c>
      <c r="E340" s="1310">
        <v>1</v>
      </c>
      <c r="F340" s="1450" t="s">
        <v>441</v>
      </c>
      <c r="G340" s="1315">
        <v>552.89</v>
      </c>
      <c r="H340" s="778">
        <f t="shared" ref="H340:H342" si="119">SUM(I340:K340)</f>
        <v>0</v>
      </c>
      <c r="I340" s="1489"/>
      <c r="J340" s="1489"/>
      <c r="K340" s="1489"/>
      <c r="L340" s="1310">
        <v>0.5</v>
      </c>
      <c r="M340" s="1451">
        <f t="shared" ref="M340:M349" si="120">SUM(N340:P340)-Q340</f>
        <v>0</v>
      </c>
      <c r="N340" s="1452">
        <v>0</v>
      </c>
      <c r="O340" s="1453">
        <f t="shared" ref="O340:O344" si="121">E340*G340*J340</f>
        <v>0</v>
      </c>
      <c r="P340" s="1453"/>
      <c r="Q340" s="1339">
        <v>0</v>
      </c>
      <c r="R340" s="177"/>
    </row>
    <row r="341" spans="1:18" hidden="1" outlineLevel="1">
      <c r="A341" s="190" t="s">
        <v>817</v>
      </c>
      <c r="B341" s="1320" t="s">
        <v>869</v>
      </c>
      <c r="C341" s="1320" t="s">
        <v>870</v>
      </c>
      <c r="D341" s="1321" t="s">
        <v>431</v>
      </c>
      <c r="E341" s="1322">
        <v>1</v>
      </c>
      <c r="F341" s="1324" t="s">
        <v>442</v>
      </c>
      <c r="G341" s="1323">
        <v>4582</v>
      </c>
      <c r="H341" s="239">
        <f t="shared" si="119"/>
        <v>0</v>
      </c>
      <c r="I341" s="1482"/>
      <c r="J341" s="1482"/>
      <c r="K341" s="1482"/>
      <c r="L341" s="1322">
        <v>0.5</v>
      </c>
      <c r="M341" s="520">
        <f t="shared" si="120"/>
        <v>0</v>
      </c>
      <c r="N341" s="521">
        <v>0</v>
      </c>
      <c r="O341" s="522">
        <f t="shared" si="121"/>
        <v>0</v>
      </c>
      <c r="P341" s="522"/>
      <c r="Q341" s="1342">
        <v>0</v>
      </c>
      <c r="R341" s="177"/>
    </row>
    <row r="342" spans="1:18" hidden="1" outlineLevel="1">
      <c r="A342" s="190" t="s">
        <v>817</v>
      </c>
      <c r="B342" s="1320" t="s">
        <v>1301</v>
      </c>
      <c r="C342" s="1320" t="s">
        <v>867</v>
      </c>
      <c r="D342" s="1321" t="s">
        <v>431</v>
      </c>
      <c r="E342" s="1322">
        <v>1.5</v>
      </c>
      <c r="F342" s="1324" t="s">
        <v>441</v>
      </c>
      <c r="G342" s="1323">
        <v>552.89</v>
      </c>
      <c r="H342" s="239">
        <f t="shared" si="119"/>
        <v>0</v>
      </c>
      <c r="I342" s="1482"/>
      <c r="J342" s="1482"/>
      <c r="K342" s="1482"/>
      <c r="L342" s="1322">
        <v>0.5</v>
      </c>
      <c r="M342" s="520">
        <f t="shared" si="120"/>
        <v>0</v>
      </c>
      <c r="N342" s="521">
        <v>0</v>
      </c>
      <c r="O342" s="522">
        <f t="shared" si="121"/>
        <v>0</v>
      </c>
      <c r="P342" s="522"/>
      <c r="Q342" s="1342">
        <v>0</v>
      </c>
      <c r="R342" s="177"/>
    </row>
    <row r="343" spans="1:18" hidden="1" outlineLevel="1">
      <c r="A343" s="190" t="s">
        <v>817</v>
      </c>
      <c r="B343" s="1325" t="s">
        <v>620</v>
      </c>
      <c r="C343" s="1325" t="s">
        <v>621</v>
      </c>
      <c r="D343" s="1321" t="s">
        <v>431</v>
      </c>
      <c r="E343" s="1327">
        <v>1</v>
      </c>
      <c r="F343" s="1324" t="s">
        <v>441</v>
      </c>
      <c r="G343" s="1323">
        <v>552.89</v>
      </c>
      <c r="H343" s="239">
        <f t="shared" ref="H343:H344" si="122">SUM(I343:K343)</f>
        <v>0</v>
      </c>
      <c r="I343" s="1482"/>
      <c r="J343" s="1338"/>
      <c r="K343" s="1338"/>
      <c r="L343" s="1322">
        <v>0.5</v>
      </c>
      <c r="M343" s="520">
        <f t="shared" si="120"/>
        <v>0</v>
      </c>
      <c r="N343" s="521">
        <v>0</v>
      </c>
      <c r="O343" s="522">
        <f t="shared" si="121"/>
        <v>0</v>
      </c>
      <c r="P343" s="522"/>
      <c r="Q343" s="1342">
        <v>0</v>
      </c>
      <c r="R343" s="177"/>
    </row>
    <row r="344" spans="1:18" hidden="1" outlineLevel="1">
      <c r="A344" s="190" t="s">
        <v>817</v>
      </c>
      <c r="B344" s="1325" t="s">
        <v>622</v>
      </c>
      <c r="C344" s="1325" t="s">
        <v>619</v>
      </c>
      <c r="D344" s="1321" t="s">
        <v>431</v>
      </c>
      <c r="E344" s="1327">
        <v>1</v>
      </c>
      <c r="F344" s="1324" t="s">
        <v>441</v>
      </c>
      <c r="G344" s="1323">
        <v>552.89</v>
      </c>
      <c r="H344" s="239">
        <f t="shared" si="122"/>
        <v>0</v>
      </c>
      <c r="I344" s="1482"/>
      <c r="J344" s="1338"/>
      <c r="K344" s="1338"/>
      <c r="L344" s="1322">
        <v>0.5</v>
      </c>
      <c r="M344" s="520">
        <f t="shared" si="120"/>
        <v>0</v>
      </c>
      <c r="N344" s="521">
        <v>0</v>
      </c>
      <c r="O344" s="522">
        <f t="shared" si="121"/>
        <v>0</v>
      </c>
      <c r="P344" s="522"/>
      <c r="Q344" s="1342">
        <v>0</v>
      </c>
      <c r="R344" s="177"/>
    </row>
    <row r="345" spans="1:18" hidden="1" outlineLevel="1">
      <c r="A345" s="190" t="s">
        <v>817</v>
      </c>
      <c r="B345" s="1316" t="s">
        <v>436</v>
      </c>
      <c r="C345" s="1316" t="s">
        <v>591</v>
      </c>
      <c r="D345" s="1317" t="s">
        <v>431</v>
      </c>
      <c r="E345" s="1318">
        <v>1</v>
      </c>
      <c r="F345" s="1317" t="s">
        <v>868</v>
      </c>
      <c r="G345" s="1315">
        <v>1435</v>
      </c>
      <c r="H345" s="238">
        <f t="shared" ref="H345:H348" si="123">SUM(I345:K345)</f>
        <v>0</v>
      </c>
      <c r="I345" s="1483"/>
      <c r="J345" s="1483"/>
      <c r="K345" s="1483"/>
      <c r="L345" s="1318">
        <v>0.5</v>
      </c>
      <c r="M345" s="233">
        <f t="shared" si="120"/>
        <v>0</v>
      </c>
      <c r="N345" s="233">
        <f t="shared" ref="N345:N349" si="124">E345*G345*I345*L345</f>
        <v>0</v>
      </c>
      <c r="O345" s="234">
        <f t="shared" ref="O345:O349" si="125">E345*G345*J345*L345*10</f>
        <v>0</v>
      </c>
      <c r="P345" s="234">
        <f t="shared" ref="P345:P349" si="126">E345*G345*K345*L345*15</f>
        <v>0</v>
      </c>
      <c r="Q345" s="1341">
        <v>0</v>
      </c>
      <c r="R345" s="177"/>
    </row>
    <row r="346" spans="1:18" hidden="1" outlineLevel="1">
      <c r="A346" s="190" t="s">
        <v>817</v>
      </c>
      <c r="B346" s="1316" t="s">
        <v>436</v>
      </c>
      <c r="C346" s="1316" t="s">
        <v>591</v>
      </c>
      <c r="D346" s="1317" t="s">
        <v>431</v>
      </c>
      <c r="E346" s="1318">
        <v>1</v>
      </c>
      <c r="F346" s="1319" t="s">
        <v>871</v>
      </c>
      <c r="G346" s="1315">
        <v>0.19</v>
      </c>
      <c r="H346" s="238">
        <f t="shared" ref="H346" si="127">SUM(I346:K346)</f>
        <v>0</v>
      </c>
      <c r="I346" s="1337"/>
      <c r="J346" s="1337"/>
      <c r="K346" s="1334"/>
      <c r="L346" s="1318">
        <v>0.5</v>
      </c>
      <c r="M346" s="233">
        <f t="shared" si="120"/>
        <v>0</v>
      </c>
      <c r="N346" s="233">
        <f t="shared" si="124"/>
        <v>0</v>
      </c>
      <c r="O346" s="234">
        <f t="shared" si="125"/>
        <v>0</v>
      </c>
      <c r="P346" s="234">
        <f t="shared" si="126"/>
        <v>0</v>
      </c>
      <c r="Q346" s="1341">
        <v>0</v>
      </c>
      <c r="R346" s="177"/>
    </row>
    <row r="347" spans="1:18" hidden="1" outlineLevel="1">
      <c r="A347" s="190" t="s">
        <v>817</v>
      </c>
      <c r="B347" s="1316" t="s">
        <v>436</v>
      </c>
      <c r="C347" s="1316" t="s">
        <v>591</v>
      </c>
      <c r="D347" s="1317" t="s">
        <v>431</v>
      </c>
      <c r="E347" s="1318">
        <v>1</v>
      </c>
      <c r="F347" s="1319" t="s">
        <v>441</v>
      </c>
      <c r="G347" s="1315">
        <v>552.89</v>
      </c>
      <c r="H347" s="238">
        <f t="shared" si="123"/>
        <v>0</v>
      </c>
      <c r="I347" s="1483"/>
      <c r="J347" s="1483"/>
      <c r="K347" s="1483"/>
      <c r="L347" s="1318">
        <v>0.5</v>
      </c>
      <c r="M347" s="233">
        <f t="shared" si="120"/>
        <v>0</v>
      </c>
      <c r="N347" s="233">
        <f t="shared" si="124"/>
        <v>0</v>
      </c>
      <c r="O347" s="234">
        <f t="shared" si="125"/>
        <v>0</v>
      </c>
      <c r="P347" s="234">
        <f t="shared" si="126"/>
        <v>0</v>
      </c>
      <c r="Q347" s="1341">
        <v>0</v>
      </c>
      <c r="R347" s="177"/>
    </row>
    <row r="348" spans="1:18" hidden="1" outlineLevel="1">
      <c r="A348" s="190" t="s">
        <v>817</v>
      </c>
      <c r="B348" s="1316" t="s">
        <v>436</v>
      </c>
      <c r="C348" s="1316" t="s">
        <v>591</v>
      </c>
      <c r="D348" s="1317" t="s">
        <v>431</v>
      </c>
      <c r="E348" s="1318">
        <v>1</v>
      </c>
      <c r="F348" s="1319" t="s">
        <v>443</v>
      </c>
      <c r="G348" s="1315">
        <v>2826</v>
      </c>
      <c r="H348" s="238">
        <f t="shared" si="123"/>
        <v>0</v>
      </c>
      <c r="I348" s="1483"/>
      <c r="J348" s="1483"/>
      <c r="K348" s="1483"/>
      <c r="L348" s="1318">
        <v>0.5</v>
      </c>
      <c r="M348" s="233">
        <f t="shared" si="120"/>
        <v>0</v>
      </c>
      <c r="N348" s="233">
        <f t="shared" si="124"/>
        <v>0</v>
      </c>
      <c r="O348" s="234">
        <f t="shared" si="125"/>
        <v>0</v>
      </c>
      <c r="P348" s="234">
        <f t="shared" si="126"/>
        <v>0</v>
      </c>
      <c r="Q348" s="1341">
        <v>0</v>
      </c>
      <c r="R348" s="177"/>
    </row>
    <row r="349" spans="1:18" hidden="1" outlineLevel="1">
      <c r="A349" s="190" t="s">
        <v>817</v>
      </c>
      <c r="B349" s="1320" t="s">
        <v>436</v>
      </c>
      <c r="C349" s="1320" t="s">
        <v>591</v>
      </c>
      <c r="D349" s="1321" t="s">
        <v>431</v>
      </c>
      <c r="E349" s="1322">
        <v>1</v>
      </c>
      <c r="F349" s="1324" t="s">
        <v>444</v>
      </c>
      <c r="G349" s="1323">
        <v>12014</v>
      </c>
      <c r="H349" s="239">
        <f t="shared" ref="H349" si="128">SUM(I349:K349)</f>
        <v>0</v>
      </c>
      <c r="I349" s="1482"/>
      <c r="J349" s="1482"/>
      <c r="K349" s="1482"/>
      <c r="L349" s="1322">
        <v>0.5</v>
      </c>
      <c r="M349" s="227">
        <f t="shared" si="120"/>
        <v>0</v>
      </c>
      <c r="N349" s="227">
        <f t="shared" si="124"/>
        <v>0</v>
      </c>
      <c r="O349" s="228">
        <f t="shared" si="125"/>
        <v>0</v>
      </c>
      <c r="P349" s="228">
        <f t="shared" si="126"/>
        <v>0</v>
      </c>
      <c r="Q349" s="1342">
        <v>0</v>
      </c>
      <c r="R349" s="177"/>
    </row>
    <row r="350" spans="1:18" hidden="1" outlineLevel="1">
      <c r="A350" s="190" t="s">
        <v>817</v>
      </c>
      <c r="B350" s="1316" t="s">
        <v>437</v>
      </c>
      <c r="C350" s="1316" t="s">
        <v>592</v>
      </c>
      <c r="D350" s="1317" t="s">
        <v>431</v>
      </c>
      <c r="E350" s="1318">
        <v>1</v>
      </c>
      <c r="F350" s="1319" t="s">
        <v>868</v>
      </c>
      <c r="G350" s="1315">
        <v>1435</v>
      </c>
      <c r="H350" s="238">
        <f t="shared" ref="H350:H357" si="129">SUM(I350:K350)</f>
        <v>5.8E-4</v>
      </c>
      <c r="I350" s="1333">
        <v>5.8E-4</v>
      </c>
      <c r="J350" s="1333"/>
      <c r="K350" s="1334"/>
      <c r="L350" s="1318">
        <v>0.5</v>
      </c>
      <c r="M350" s="233">
        <f t="shared" ref="M350:M357" si="130">SUM(N350:P350)-Q350</f>
        <v>0.41615000000000002</v>
      </c>
      <c r="N350" s="233">
        <f t="shared" ref="N350:N357" si="131">E350*G350*I350*L350</f>
        <v>0.41615000000000002</v>
      </c>
      <c r="O350" s="234">
        <f t="shared" ref="O350:O357" si="132">E350*G350*J350*L350*10</f>
        <v>0</v>
      </c>
      <c r="P350" s="234">
        <f t="shared" ref="P350:P357" si="133">E350*G350*K350*L350*15</f>
        <v>0</v>
      </c>
      <c r="Q350" s="1341">
        <v>0</v>
      </c>
      <c r="R350" s="177"/>
    </row>
    <row r="351" spans="1:18" hidden="1" outlineLevel="1">
      <c r="A351" s="190" t="s">
        <v>817</v>
      </c>
      <c r="B351" s="1316" t="s">
        <v>437</v>
      </c>
      <c r="C351" s="1316" t="s">
        <v>592</v>
      </c>
      <c r="D351" s="1317" t="s">
        <v>431</v>
      </c>
      <c r="E351" s="1318">
        <v>1</v>
      </c>
      <c r="F351" s="1319" t="s">
        <v>441</v>
      </c>
      <c r="G351" s="1315">
        <v>552.89</v>
      </c>
      <c r="H351" s="238">
        <f t="shared" si="129"/>
        <v>1.1999999999999999E-3</v>
      </c>
      <c r="I351" s="1333">
        <v>1.1999999999999999E-3</v>
      </c>
      <c r="J351" s="1333"/>
      <c r="K351" s="1334"/>
      <c r="L351" s="1318">
        <v>0.5</v>
      </c>
      <c r="M351" s="233">
        <f t="shared" si="130"/>
        <v>0.33173399999999997</v>
      </c>
      <c r="N351" s="233">
        <f t="shared" si="131"/>
        <v>0.33173399999999997</v>
      </c>
      <c r="O351" s="234">
        <f t="shared" si="132"/>
        <v>0</v>
      </c>
      <c r="P351" s="234">
        <f t="shared" si="133"/>
        <v>0</v>
      </c>
      <c r="Q351" s="1341">
        <v>0</v>
      </c>
      <c r="R351" s="177"/>
    </row>
    <row r="352" spans="1:18" hidden="1" outlineLevel="1">
      <c r="A352" s="190" t="s">
        <v>817</v>
      </c>
      <c r="B352" s="1316" t="s">
        <v>437</v>
      </c>
      <c r="C352" s="1316" t="s">
        <v>592</v>
      </c>
      <c r="D352" s="1317" t="s">
        <v>431</v>
      </c>
      <c r="E352" s="1318">
        <v>1</v>
      </c>
      <c r="F352" s="1319" t="s">
        <v>443</v>
      </c>
      <c r="G352" s="1315">
        <v>2826</v>
      </c>
      <c r="H352" s="238">
        <f t="shared" si="129"/>
        <v>3.1E-4</v>
      </c>
      <c r="I352" s="1333">
        <v>3.1E-4</v>
      </c>
      <c r="J352" s="1333"/>
      <c r="K352" s="1334"/>
      <c r="L352" s="1318">
        <v>0.5</v>
      </c>
      <c r="M352" s="233">
        <f t="shared" si="130"/>
        <v>0.43802999999999997</v>
      </c>
      <c r="N352" s="233">
        <f t="shared" si="131"/>
        <v>0.43802999999999997</v>
      </c>
      <c r="O352" s="234">
        <f t="shared" si="132"/>
        <v>0</v>
      </c>
      <c r="P352" s="234">
        <f t="shared" si="133"/>
        <v>0</v>
      </c>
      <c r="Q352" s="1341">
        <v>0</v>
      </c>
      <c r="R352" s="177"/>
    </row>
    <row r="353" spans="1:18" hidden="1" outlineLevel="1">
      <c r="A353" s="190" t="s">
        <v>817</v>
      </c>
      <c r="B353" s="1320" t="s">
        <v>437</v>
      </c>
      <c r="C353" s="1320" t="s">
        <v>592</v>
      </c>
      <c r="D353" s="1321" t="s">
        <v>431</v>
      </c>
      <c r="E353" s="1322">
        <v>1</v>
      </c>
      <c r="F353" s="1324" t="s">
        <v>444</v>
      </c>
      <c r="G353" s="1323">
        <v>12014</v>
      </c>
      <c r="H353" s="239">
        <f t="shared" si="129"/>
        <v>2.9E-5</v>
      </c>
      <c r="I353" s="1335">
        <v>2.9E-5</v>
      </c>
      <c r="J353" s="1335"/>
      <c r="K353" s="1336"/>
      <c r="L353" s="1322">
        <v>0.5</v>
      </c>
      <c r="M353" s="227">
        <f t="shared" si="130"/>
        <v>0.174203</v>
      </c>
      <c r="N353" s="227">
        <f t="shared" si="131"/>
        <v>0.174203</v>
      </c>
      <c r="O353" s="228">
        <f t="shared" si="132"/>
        <v>0</v>
      </c>
      <c r="P353" s="228">
        <f t="shared" si="133"/>
        <v>0</v>
      </c>
      <c r="Q353" s="1341">
        <v>0</v>
      </c>
      <c r="R353" s="177"/>
    </row>
    <row r="354" spans="1:18" hidden="1" outlineLevel="1">
      <c r="A354" s="190" t="s">
        <v>817</v>
      </c>
      <c r="B354" s="1316" t="s">
        <v>438</v>
      </c>
      <c r="C354" s="1316" t="s">
        <v>593</v>
      </c>
      <c r="D354" s="1317" t="s">
        <v>431</v>
      </c>
      <c r="E354" s="1318">
        <v>1</v>
      </c>
      <c r="F354" s="1319" t="s">
        <v>868</v>
      </c>
      <c r="G354" s="1315">
        <v>1435</v>
      </c>
      <c r="H354" s="238">
        <f t="shared" si="129"/>
        <v>4.5669999999999999E-3</v>
      </c>
      <c r="I354" s="1333">
        <v>4.5669999999999999E-3</v>
      </c>
      <c r="J354" s="1333"/>
      <c r="K354" s="1334"/>
      <c r="L354" s="1318">
        <v>1</v>
      </c>
      <c r="M354" s="233">
        <f t="shared" si="130"/>
        <v>6.5536449999999995</v>
      </c>
      <c r="N354" s="233">
        <f t="shared" si="131"/>
        <v>6.5536449999999995</v>
      </c>
      <c r="O354" s="234">
        <f t="shared" si="132"/>
        <v>0</v>
      </c>
      <c r="P354" s="234">
        <f t="shared" si="133"/>
        <v>0</v>
      </c>
      <c r="Q354" s="1341">
        <v>0</v>
      </c>
      <c r="R354" s="177"/>
    </row>
    <row r="355" spans="1:18" hidden="1" outlineLevel="1">
      <c r="A355" s="190" t="s">
        <v>817</v>
      </c>
      <c r="B355" s="1316" t="s">
        <v>438</v>
      </c>
      <c r="C355" s="1316" t="s">
        <v>593</v>
      </c>
      <c r="D355" s="1317" t="s">
        <v>431</v>
      </c>
      <c r="E355" s="1318">
        <v>1</v>
      </c>
      <c r="F355" s="1319" t="s">
        <v>441</v>
      </c>
      <c r="G355" s="1315">
        <v>552.89</v>
      </c>
      <c r="H355" s="238">
        <f t="shared" si="129"/>
        <v>1.8938E-2</v>
      </c>
      <c r="I355" s="1333">
        <v>8.3549999999999996E-3</v>
      </c>
      <c r="J355" s="1333">
        <v>1.0583E-2</v>
      </c>
      <c r="K355" s="1334"/>
      <c r="L355" s="1318">
        <v>1</v>
      </c>
      <c r="M355" s="233">
        <f t="shared" si="130"/>
        <v>63.131744649999995</v>
      </c>
      <c r="N355" s="233">
        <f t="shared" si="131"/>
        <v>4.6193959499999995</v>
      </c>
      <c r="O355" s="234">
        <f t="shared" si="132"/>
        <v>58.512348699999997</v>
      </c>
      <c r="P355" s="234">
        <f t="shared" si="133"/>
        <v>0</v>
      </c>
      <c r="Q355" s="1341">
        <v>0</v>
      </c>
      <c r="R355" s="177"/>
    </row>
    <row r="356" spans="1:18" hidden="1" outlineLevel="1">
      <c r="A356" s="190" t="s">
        <v>817</v>
      </c>
      <c r="B356" s="1316" t="s">
        <v>438</v>
      </c>
      <c r="C356" s="1316" t="s">
        <v>593</v>
      </c>
      <c r="D356" s="1317" t="s">
        <v>431</v>
      </c>
      <c r="E356" s="1318">
        <v>1</v>
      </c>
      <c r="F356" s="1319" t="s">
        <v>442</v>
      </c>
      <c r="G356" s="1315">
        <v>4582</v>
      </c>
      <c r="H356" s="238">
        <f t="shared" si="129"/>
        <v>0</v>
      </c>
      <c r="I356" s="1333"/>
      <c r="J356" s="1333"/>
      <c r="K356" s="1334"/>
      <c r="L356" s="1318">
        <v>1</v>
      </c>
      <c r="M356" s="233">
        <f t="shared" si="130"/>
        <v>0</v>
      </c>
      <c r="N356" s="233">
        <f t="shared" si="131"/>
        <v>0</v>
      </c>
      <c r="O356" s="234">
        <f t="shared" si="132"/>
        <v>0</v>
      </c>
      <c r="P356" s="234">
        <f t="shared" si="133"/>
        <v>0</v>
      </c>
      <c r="Q356" s="1341">
        <v>0</v>
      </c>
      <c r="R356" s="177"/>
    </row>
    <row r="357" spans="1:18" hidden="1" outlineLevel="1">
      <c r="A357" s="190" t="s">
        <v>817</v>
      </c>
      <c r="B357" s="1316" t="s">
        <v>438</v>
      </c>
      <c r="C357" s="1316" t="s">
        <v>593</v>
      </c>
      <c r="D357" s="1317" t="s">
        <v>431</v>
      </c>
      <c r="E357" s="1318">
        <v>1</v>
      </c>
      <c r="F357" s="1317" t="s">
        <v>443</v>
      </c>
      <c r="G357" s="1315">
        <v>2826</v>
      </c>
      <c r="H357" s="238">
        <f t="shared" si="129"/>
        <v>1.0026E-2</v>
      </c>
      <c r="I357" s="1333">
        <v>8.3549999999999996E-3</v>
      </c>
      <c r="J357" s="1333">
        <v>1.671E-3</v>
      </c>
      <c r="K357" s="1334"/>
      <c r="L357" s="1318">
        <v>1</v>
      </c>
      <c r="M357" s="233">
        <f t="shared" si="130"/>
        <v>70.83368999999999</v>
      </c>
      <c r="N357" s="233">
        <f t="shared" si="131"/>
        <v>23.611229999999999</v>
      </c>
      <c r="O357" s="234">
        <f t="shared" si="132"/>
        <v>47.222459999999998</v>
      </c>
      <c r="P357" s="234">
        <f t="shared" si="133"/>
        <v>0</v>
      </c>
      <c r="Q357" s="1341">
        <v>0</v>
      </c>
      <c r="R357" s="177"/>
    </row>
    <row r="358" spans="1:18" hidden="1" outlineLevel="1">
      <c r="A358" s="190" t="s">
        <v>817</v>
      </c>
      <c r="B358" s="1316" t="s">
        <v>438</v>
      </c>
      <c r="C358" s="1316" t="s">
        <v>593</v>
      </c>
      <c r="D358" s="1317" t="s">
        <v>431</v>
      </c>
      <c r="E358" s="1318">
        <v>1</v>
      </c>
      <c r="F358" s="1319" t="s">
        <v>444</v>
      </c>
      <c r="G358" s="1315">
        <v>12014</v>
      </c>
      <c r="H358" s="238">
        <f t="shared" ref="H358:H364" si="134">SUM(I358:K358)</f>
        <v>1.7260000000000001E-3</v>
      </c>
      <c r="I358" s="1333">
        <v>2.7799999999999998E-4</v>
      </c>
      <c r="J358" s="1333">
        <v>1.4480000000000001E-3</v>
      </c>
      <c r="K358" s="1334"/>
      <c r="L358" s="1318">
        <v>1</v>
      </c>
      <c r="M358" s="233">
        <f t="shared" ref="M358" si="135">SUM(N358:P358)-Q358</f>
        <v>177.30261199999998</v>
      </c>
      <c r="N358" s="233">
        <f t="shared" ref="N358:N364" si="136">E358*G358*I358*L358</f>
        <v>3.3398919999999999</v>
      </c>
      <c r="O358" s="234">
        <f t="shared" ref="O358:O364" si="137">E358*G358*J358*L358*10</f>
        <v>173.96271999999999</v>
      </c>
      <c r="P358" s="234">
        <f t="shared" ref="P358:P364" si="138">E358*G358*K358*L358*15</f>
        <v>0</v>
      </c>
      <c r="Q358" s="1341">
        <v>0</v>
      </c>
      <c r="R358" s="177"/>
    </row>
    <row r="359" spans="1:18" hidden="1" outlineLevel="1">
      <c r="A359" s="190" t="s">
        <v>817</v>
      </c>
      <c r="B359" s="1320" t="s">
        <v>438</v>
      </c>
      <c r="C359" s="1320" t="s">
        <v>593</v>
      </c>
      <c r="D359" s="1321" t="s">
        <v>431</v>
      </c>
      <c r="E359" s="1322">
        <v>1</v>
      </c>
      <c r="F359" s="1324" t="s">
        <v>445</v>
      </c>
      <c r="G359" s="1323">
        <v>24326</v>
      </c>
      <c r="H359" s="239">
        <f t="shared" si="134"/>
        <v>0</v>
      </c>
      <c r="I359" s="1335"/>
      <c r="J359" s="1335"/>
      <c r="K359" s="1336"/>
      <c r="L359" s="1322">
        <v>1</v>
      </c>
      <c r="M359" s="227">
        <f t="shared" ref="M359:M364" si="139">SUM(N359:P359)-Q359</f>
        <v>0</v>
      </c>
      <c r="N359" s="227">
        <f t="shared" si="136"/>
        <v>0</v>
      </c>
      <c r="O359" s="228">
        <f t="shared" si="137"/>
        <v>0</v>
      </c>
      <c r="P359" s="228">
        <f t="shared" si="138"/>
        <v>0</v>
      </c>
      <c r="Q359" s="1342">
        <v>0</v>
      </c>
      <c r="R359" s="177"/>
    </row>
    <row r="360" spans="1:18" hidden="1" outlineLevel="1">
      <c r="A360" s="190" t="s">
        <v>817</v>
      </c>
      <c r="B360" s="1316" t="s">
        <v>418</v>
      </c>
      <c r="C360" s="1316" t="s">
        <v>439</v>
      </c>
      <c r="D360" s="1317" t="s">
        <v>431</v>
      </c>
      <c r="E360" s="1318">
        <v>1.5</v>
      </c>
      <c r="F360" s="1319" t="s">
        <v>868</v>
      </c>
      <c r="G360" s="1315">
        <v>1435</v>
      </c>
      <c r="H360" s="238">
        <f t="shared" si="134"/>
        <v>0</v>
      </c>
      <c r="I360" s="1333"/>
      <c r="J360" s="1333"/>
      <c r="K360" s="1334"/>
      <c r="L360" s="1318">
        <v>0.5</v>
      </c>
      <c r="M360" s="233">
        <f t="shared" si="139"/>
        <v>0</v>
      </c>
      <c r="N360" s="233">
        <f t="shared" si="136"/>
        <v>0</v>
      </c>
      <c r="O360" s="234">
        <f t="shared" si="137"/>
        <v>0</v>
      </c>
      <c r="P360" s="234">
        <f t="shared" si="138"/>
        <v>0</v>
      </c>
      <c r="Q360" s="1341">
        <v>0</v>
      </c>
      <c r="R360" s="177"/>
    </row>
    <row r="361" spans="1:18" hidden="1" outlineLevel="1">
      <c r="A361" s="190" t="s">
        <v>817</v>
      </c>
      <c r="B361" s="1316" t="s">
        <v>418</v>
      </c>
      <c r="C361" s="1316" t="s">
        <v>439</v>
      </c>
      <c r="D361" s="1317" t="s">
        <v>431</v>
      </c>
      <c r="E361" s="1318">
        <v>1.5</v>
      </c>
      <c r="F361" s="1317" t="s">
        <v>441</v>
      </c>
      <c r="G361" s="1315">
        <v>552.89</v>
      </c>
      <c r="H361" s="238">
        <f t="shared" si="134"/>
        <v>5.1569999999999998E-2</v>
      </c>
      <c r="I361" s="1333">
        <v>5.1569999999999998E-2</v>
      </c>
      <c r="J361" s="1333"/>
      <c r="K361" s="1334"/>
      <c r="L361" s="1318">
        <v>0.5</v>
      </c>
      <c r="M361" s="233">
        <f t="shared" si="139"/>
        <v>21.384402975</v>
      </c>
      <c r="N361" s="233">
        <f t="shared" si="136"/>
        <v>21.384402975</v>
      </c>
      <c r="O361" s="234">
        <f t="shared" si="137"/>
        <v>0</v>
      </c>
      <c r="P361" s="234">
        <f t="shared" si="138"/>
        <v>0</v>
      </c>
      <c r="Q361" s="1341">
        <v>0</v>
      </c>
      <c r="R361" s="177"/>
    </row>
    <row r="362" spans="1:18" hidden="1" outlineLevel="1">
      <c r="A362" s="190" t="s">
        <v>817</v>
      </c>
      <c r="B362" s="1316" t="s">
        <v>418</v>
      </c>
      <c r="C362" s="1316" t="s">
        <v>439</v>
      </c>
      <c r="D362" s="1317" t="s">
        <v>431</v>
      </c>
      <c r="E362" s="1318">
        <v>1.5</v>
      </c>
      <c r="F362" s="1319" t="s">
        <v>442</v>
      </c>
      <c r="G362" s="1315">
        <v>4582</v>
      </c>
      <c r="H362" s="238">
        <f t="shared" si="134"/>
        <v>0</v>
      </c>
      <c r="I362" s="1333"/>
      <c r="J362" s="1333"/>
      <c r="K362" s="1334"/>
      <c r="L362" s="1318">
        <v>0.5</v>
      </c>
      <c r="M362" s="233">
        <f t="shared" si="139"/>
        <v>0</v>
      </c>
      <c r="N362" s="233">
        <f t="shared" si="136"/>
        <v>0</v>
      </c>
      <c r="O362" s="234">
        <f t="shared" si="137"/>
        <v>0</v>
      </c>
      <c r="P362" s="234">
        <f t="shared" si="138"/>
        <v>0</v>
      </c>
      <c r="Q362" s="1341">
        <v>0</v>
      </c>
      <c r="R362" s="177"/>
    </row>
    <row r="363" spans="1:18" hidden="1" outlineLevel="1">
      <c r="A363" s="190" t="s">
        <v>817</v>
      </c>
      <c r="B363" s="1316" t="s">
        <v>418</v>
      </c>
      <c r="C363" s="1316" t="s">
        <v>439</v>
      </c>
      <c r="D363" s="1317" t="s">
        <v>431</v>
      </c>
      <c r="E363" s="1318">
        <v>1.5</v>
      </c>
      <c r="F363" s="1319" t="s">
        <v>443</v>
      </c>
      <c r="G363" s="1315">
        <v>2826</v>
      </c>
      <c r="H363" s="238">
        <f t="shared" si="134"/>
        <v>5.7299999999999997E-2</v>
      </c>
      <c r="I363" s="1333">
        <v>5.7299999999999997E-2</v>
      </c>
      <c r="J363" s="1333"/>
      <c r="K363" s="1334"/>
      <c r="L363" s="1318">
        <v>0.5</v>
      </c>
      <c r="M363" s="233">
        <f t="shared" si="139"/>
        <v>121.44735</v>
      </c>
      <c r="N363" s="233">
        <f t="shared" si="136"/>
        <v>121.44735</v>
      </c>
      <c r="O363" s="234">
        <f t="shared" si="137"/>
        <v>0</v>
      </c>
      <c r="P363" s="234">
        <f t="shared" si="138"/>
        <v>0</v>
      </c>
      <c r="Q363" s="1341">
        <v>0</v>
      </c>
      <c r="R363" s="177"/>
    </row>
    <row r="364" spans="1:18" hidden="1" outlineLevel="1">
      <c r="A364" s="190" t="s">
        <v>817</v>
      </c>
      <c r="B364" s="1316" t="s">
        <v>418</v>
      </c>
      <c r="C364" s="1316" t="s">
        <v>439</v>
      </c>
      <c r="D364" s="1317" t="s">
        <v>431</v>
      </c>
      <c r="E364" s="1318">
        <v>1.5</v>
      </c>
      <c r="F364" s="1317" t="s">
        <v>444</v>
      </c>
      <c r="G364" s="1315">
        <v>12014</v>
      </c>
      <c r="H364" s="238">
        <f t="shared" si="134"/>
        <v>1.4040000000000001E-3</v>
      </c>
      <c r="I364" s="1333">
        <v>1.4040000000000001E-3</v>
      </c>
      <c r="J364" s="1333"/>
      <c r="K364" s="1334"/>
      <c r="L364" s="1318">
        <v>0.5</v>
      </c>
      <c r="M364" s="233">
        <f t="shared" si="139"/>
        <v>12.650742000000001</v>
      </c>
      <c r="N364" s="233">
        <f t="shared" si="136"/>
        <v>12.650742000000001</v>
      </c>
      <c r="O364" s="234">
        <f t="shared" si="137"/>
        <v>0</v>
      </c>
      <c r="P364" s="234">
        <f t="shared" si="138"/>
        <v>0</v>
      </c>
      <c r="Q364" s="1341">
        <v>0</v>
      </c>
      <c r="R364" s="177"/>
    </row>
    <row r="365" spans="1:18" hidden="1" outlineLevel="1">
      <c r="A365" s="190" t="s">
        <v>817</v>
      </c>
      <c r="B365" s="1320" t="s">
        <v>418</v>
      </c>
      <c r="C365" s="1320" t="s">
        <v>439</v>
      </c>
      <c r="D365" s="1321" t="s">
        <v>431</v>
      </c>
      <c r="E365" s="1322">
        <v>1.5</v>
      </c>
      <c r="F365" s="1321" t="s">
        <v>445</v>
      </c>
      <c r="G365" s="1323">
        <v>24326</v>
      </c>
      <c r="H365" s="239">
        <f t="shared" ref="H365:H371" si="140">SUM(I365:K365)</f>
        <v>0</v>
      </c>
      <c r="I365" s="1335"/>
      <c r="J365" s="1335"/>
      <c r="K365" s="1336"/>
      <c r="L365" s="1322">
        <v>0.5</v>
      </c>
      <c r="M365" s="227">
        <f t="shared" ref="M365:M371" si="141">SUM(N365:P365)-Q365</f>
        <v>0</v>
      </c>
      <c r="N365" s="227">
        <f t="shared" ref="N365:N371" si="142">E365*G365*I365*L365</f>
        <v>0</v>
      </c>
      <c r="O365" s="228">
        <f t="shared" ref="O365:O371" si="143">E365*G365*J365*L365*10</f>
        <v>0</v>
      </c>
      <c r="P365" s="228">
        <f t="shared" ref="P365:P371" si="144">E365*G365*K365*L365*15</f>
        <v>0</v>
      </c>
      <c r="Q365" s="1342">
        <v>0</v>
      </c>
      <c r="R365" s="177"/>
    </row>
    <row r="366" spans="1:18" hidden="1" outlineLevel="1">
      <c r="A366" s="190" t="s">
        <v>817</v>
      </c>
      <c r="B366" s="1316" t="s">
        <v>411</v>
      </c>
      <c r="C366" s="1316" t="s">
        <v>440</v>
      </c>
      <c r="D366" s="1317" t="s">
        <v>431</v>
      </c>
      <c r="E366" s="1318">
        <v>1.5</v>
      </c>
      <c r="F366" s="1319" t="s">
        <v>868</v>
      </c>
      <c r="G366" s="1315">
        <v>1435</v>
      </c>
      <c r="H366" s="238">
        <f t="shared" si="140"/>
        <v>1.1011E-2</v>
      </c>
      <c r="I366" s="1333">
        <v>1.1011E-2</v>
      </c>
      <c r="J366" s="1333"/>
      <c r="K366" s="1334"/>
      <c r="L366" s="1318">
        <v>0.5</v>
      </c>
      <c r="M366" s="233">
        <f t="shared" si="141"/>
        <v>11.85058875</v>
      </c>
      <c r="N366" s="233">
        <f t="shared" si="142"/>
        <v>11.85058875</v>
      </c>
      <c r="O366" s="234">
        <f t="shared" si="143"/>
        <v>0</v>
      </c>
      <c r="P366" s="234">
        <f t="shared" si="144"/>
        <v>0</v>
      </c>
      <c r="Q366" s="1341">
        <v>0</v>
      </c>
      <c r="R366" s="177"/>
    </row>
    <row r="367" spans="1:18" hidden="1" outlineLevel="1">
      <c r="A367" s="190" t="s">
        <v>817</v>
      </c>
      <c r="B367" s="1316" t="s">
        <v>411</v>
      </c>
      <c r="C367" s="1316" t="s">
        <v>440</v>
      </c>
      <c r="D367" s="1317" t="s">
        <v>431</v>
      </c>
      <c r="E367" s="1318">
        <v>1.5</v>
      </c>
      <c r="F367" s="1319" t="s">
        <v>441</v>
      </c>
      <c r="G367" s="1315">
        <v>552.89</v>
      </c>
      <c r="H367" s="238">
        <f t="shared" si="140"/>
        <v>2.2939999999999999E-2</v>
      </c>
      <c r="I367" s="1333">
        <v>2.2939999999999999E-2</v>
      </c>
      <c r="J367" s="1333"/>
      <c r="K367" s="1334"/>
      <c r="L367" s="1318">
        <v>0.5</v>
      </c>
      <c r="M367" s="233">
        <f t="shared" si="141"/>
        <v>9.5124724500000006</v>
      </c>
      <c r="N367" s="233">
        <f t="shared" si="142"/>
        <v>9.5124724500000006</v>
      </c>
      <c r="O367" s="234">
        <f t="shared" si="143"/>
        <v>0</v>
      </c>
      <c r="P367" s="234">
        <f t="shared" si="144"/>
        <v>0</v>
      </c>
      <c r="Q367" s="1341">
        <v>0</v>
      </c>
      <c r="R367" s="177"/>
    </row>
    <row r="368" spans="1:18" hidden="1" outlineLevel="1">
      <c r="A368" s="190" t="s">
        <v>817</v>
      </c>
      <c r="B368" s="1316" t="s">
        <v>411</v>
      </c>
      <c r="C368" s="1316" t="s">
        <v>440</v>
      </c>
      <c r="D368" s="1317" t="s">
        <v>431</v>
      </c>
      <c r="E368" s="1318">
        <v>1.5</v>
      </c>
      <c r="F368" s="1319" t="s">
        <v>442</v>
      </c>
      <c r="G368" s="1315">
        <v>4582</v>
      </c>
      <c r="H368" s="238">
        <f t="shared" si="140"/>
        <v>0</v>
      </c>
      <c r="I368" s="1333"/>
      <c r="J368" s="1333"/>
      <c r="K368" s="1334"/>
      <c r="L368" s="1318">
        <v>0.5</v>
      </c>
      <c r="M368" s="233">
        <f t="shared" si="141"/>
        <v>0</v>
      </c>
      <c r="N368" s="233">
        <f t="shared" si="142"/>
        <v>0</v>
      </c>
      <c r="O368" s="234">
        <f t="shared" si="143"/>
        <v>0</v>
      </c>
      <c r="P368" s="234">
        <f t="shared" si="144"/>
        <v>0</v>
      </c>
      <c r="Q368" s="1341">
        <v>0</v>
      </c>
      <c r="R368" s="177"/>
    </row>
    <row r="369" spans="1:18" hidden="1" outlineLevel="1">
      <c r="A369" s="190" t="s">
        <v>817</v>
      </c>
      <c r="B369" s="1316" t="s">
        <v>411</v>
      </c>
      <c r="C369" s="1316" t="s">
        <v>440</v>
      </c>
      <c r="D369" s="1317" t="s">
        <v>431</v>
      </c>
      <c r="E369" s="1318">
        <v>1.5</v>
      </c>
      <c r="F369" s="1317" t="s">
        <v>443</v>
      </c>
      <c r="G369" s="1315">
        <v>2826</v>
      </c>
      <c r="H369" s="238">
        <f t="shared" si="140"/>
        <v>4.9319999999999998E-3</v>
      </c>
      <c r="I369" s="1333">
        <v>4.9319999999999998E-3</v>
      </c>
      <c r="J369" s="1333"/>
      <c r="K369" s="1334"/>
      <c r="L369" s="1318">
        <v>0.5</v>
      </c>
      <c r="M369" s="233">
        <f t="shared" si="141"/>
        <v>10.453374</v>
      </c>
      <c r="N369" s="233">
        <f t="shared" si="142"/>
        <v>10.453374</v>
      </c>
      <c r="O369" s="234">
        <f t="shared" si="143"/>
        <v>0</v>
      </c>
      <c r="P369" s="234">
        <f t="shared" si="144"/>
        <v>0</v>
      </c>
      <c r="Q369" s="1341">
        <v>0</v>
      </c>
      <c r="R369" s="177"/>
    </row>
    <row r="370" spans="1:18" hidden="1" outlineLevel="1">
      <c r="A370" s="190" t="s">
        <v>817</v>
      </c>
      <c r="B370" s="1320" t="s">
        <v>411</v>
      </c>
      <c r="C370" s="1320" t="s">
        <v>440</v>
      </c>
      <c r="D370" s="1321" t="s">
        <v>431</v>
      </c>
      <c r="E370" s="1322">
        <v>1.5</v>
      </c>
      <c r="F370" s="1324" t="s">
        <v>444</v>
      </c>
      <c r="G370" s="1323">
        <v>12014</v>
      </c>
      <c r="H370" s="239">
        <f t="shared" si="140"/>
        <v>1.0089999999999999E-3</v>
      </c>
      <c r="I370" s="1335">
        <v>1.0089999999999999E-3</v>
      </c>
      <c r="J370" s="1335"/>
      <c r="K370" s="1336"/>
      <c r="L370" s="1322">
        <v>0.5</v>
      </c>
      <c r="M370" s="227">
        <f t="shared" si="141"/>
        <v>9.0915944999999994</v>
      </c>
      <c r="N370" s="227">
        <f t="shared" si="142"/>
        <v>9.0915944999999994</v>
      </c>
      <c r="O370" s="228">
        <f t="shared" si="143"/>
        <v>0</v>
      </c>
      <c r="P370" s="228">
        <f t="shared" si="144"/>
        <v>0</v>
      </c>
      <c r="Q370" s="1342">
        <v>0</v>
      </c>
      <c r="R370" s="177"/>
    </row>
    <row r="371" spans="1:18" hidden="1" outlineLevel="1">
      <c r="A371" s="190" t="s">
        <v>817</v>
      </c>
      <c r="B371" s="1316" t="s">
        <v>409</v>
      </c>
      <c r="C371" s="1316" t="s">
        <v>594</v>
      </c>
      <c r="D371" s="1317" t="s">
        <v>431</v>
      </c>
      <c r="E371" s="1318">
        <v>1</v>
      </c>
      <c r="F371" s="1319" t="s">
        <v>868</v>
      </c>
      <c r="G371" s="1315">
        <v>1435</v>
      </c>
      <c r="H371" s="238">
        <f t="shared" si="140"/>
        <v>2.5475999999999999E-2</v>
      </c>
      <c r="I371" s="1333">
        <v>2.5475999999999999E-2</v>
      </c>
      <c r="J371" s="1333"/>
      <c r="K371" s="1334"/>
      <c r="L371" s="1318">
        <v>0.5</v>
      </c>
      <c r="M371" s="233">
        <f t="shared" si="141"/>
        <v>18.279029999999999</v>
      </c>
      <c r="N371" s="233">
        <f t="shared" si="142"/>
        <v>18.279029999999999</v>
      </c>
      <c r="O371" s="234">
        <f t="shared" si="143"/>
        <v>0</v>
      </c>
      <c r="P371" s="234">
        <f t="shared" si="144"/>
        <v>0</v>
      </c>
      <c r="Q371" s="1341">
        <v>0</v>
      </c>
      <c r="R371" s="177"/>
    </row>
    <row r="372" spans="1:18" hidden="1" outlineLevel="1">
      <c r="A372" s="190" t="s">
        <v>817</v>
      </c>
      <c r="B372" s="1316" t="s">
        <v>409</v>
      </c>
      <c r="C372" s="1316" t="s">
        <v>594</v>
      </c>
      <c r="D372" s="1317" t="s">
        <v>431</v>
      </c>
      <c r="E372" s="1318">
        <v>1</v>
      </c>
      <c r="F372" s="1319" t="s">
        <v>441</v>
      </c>
      <c r="G372" s="1315">
        <v>552.89</v>
      </c>
      <c r="H372" s="238">
        <f t="shared" si="118"/>
        <v>2.316E-2</v>
      </c>
      <c r="I372" s="1333">
        <v>2.316E-2</v>
      </c>
      <c r="J372" s="1333"/>
      <c r="K372" s="1334"/>
      <c r="L372" s="1318">
        <v>0.5</v>
      </c>
      <c r="M372" s="233">
        <f t="shared" si="111"/>
        <v>6.4024662000000001</v>
      </c>
      <c r="N372" s="233">
        <f t="shared" si="88"/>
        <v>6.4024662000000001</v>
      </c>
      <c r="O372" s="234">
        <f t="shared" si="89"/>
        <v>0</v>
      </c>
      <c r="P372" s="234">
        <f t="shared" si="112"/>
        <v>0</v>
      </c>
      <c r="Q372" s="1341">
        <v>0</v>
      </c>
      <c r="R372" s="177"/>
    </row>
    <row r="373" spans="1:18" hidden="1" outlineLevel="1">
      <c r="A373" s="190" t="s">
        <v>817</v>
      </c>
      <c r="B373" s="1316" t="s">
        <v>409</v>
      </c>
      <c r="C373" s="1316" t="s">
        <v>594</v>
      </c>
      <c r="D373" s="1317" t="s">
        <v>431</v>
      </c>
      <c r="E373" s="1318">
        <v>1</v>
      </c>
      <c r="F373" s="1317" t="s">
        <v>442</v>
      </c>
      <c r="G373" s="1315">
        <v>4582</v>
      </c>
      <c r="H373" s="238">
        <f t="shared" si="118"/>
        <v>0</v>
      </c>
      <c r="I373" s="1333"/>
      <c r="J373" s="1333"/>
      <c r="K373" s="1334"/>
      <c r="L373" s="1318">
        <v>0.5</v>
      </c>
      <c r="M373" s="233">
        <f t="shared" si="111"/>
        <v>0</v>
      </c>
      <c r="N373" s="233">
        <f t="shared" si="88"/>
        <v>0</v>
      </c>
      <c r="O373" s="234">
        <f t="shared" si="89"/>
        <v>0</v>
      </c>
      <c r="P373" s="234">
        <f t="shared" si="112"/>
        <v>0</v>
      </c>
      <c r="Q373" s="1341">
        <v>0</v>
      </c>
      <c r="R373" s="177"/>
    </row>
    <row r="374" spans="1:18" hidden="1" outlineLevel="1">
      <c r="A374" s="190" t="s">
        <v>817</v>
      </c>
      <c r="B374" s="1316" t="s">
        <v>409</v>
      </c>
      <c r="C374" s="1316" t="s">
        <v>594</v>
      </c>
      <c r="D374" s="1317" t="s">
        <v>431</v>
      </c>
      <c r="E374" s="1318">
        <v>1</v>
      </c>
      <c r="F374" s="1319" t="s">
        <v>443</v>
      </c>
      <c r="G374" s="1315">
        <v>2826</v>
      </c>
      <c r="H374" s="238">
        <f t="shared" si="118"/>
        <v>1.6983999999999999E-2</v>
      </c>
      <c r="I374" s="1333">
        <v>1.6983999999999999E-2</v>
      </c>
      <c r="J374" s="1333"/>
      <c r="K374" s="1334"/>
      <c r="L374" s="1318">
        <v>0.5</v>
      </c>
      <c r="M374" s="233">
        <f t="shared" si="111"/>
        <v>23.998391999999999</v>
      </c>
      <c r="N374" s="233">
        <f t="shared" si="88"/>
        <v>23.998391999999999</v>
      </c>
      <c r="O374" s="234">
        <f t="shared" si="89"/>
        <v>0</v>
      </c>
      <c r="P374" s="234">
        <f t="shared" si="112"/>
        <v>0</v>
      </c>
      <c r="Q374" s="1341">
        <v>0</v>
      </c>
      <c r="R374" s="177"/>
    </row>
    <row r="375" spans="1:18" hidden="1" outlineLevel="1">
      <c r="A375" s="191" t="s">
        <v>817</v>
      </c>
      <c r="B375" s="1320" t="s">
        <v>409</v>
      </c>
      <c r="C375" s="1320" t="s">
        <v>594</v>
      </c>
      <c r="D375" s="1321" t="s">
        <v>431</v>
      </c>
      <c r="E375" s="1322">
        <v>1</v>
      </c>
      <c r="F375" s="1324" t="s">
        <v>444</v>
      </c>
      <c r="G375" s="1323">
        <v>12014</v>
      </c>
      <c r="H375" s="239">
        <f t="shared" si="118"/>
        <v>2.5479999999999999E-3</v>
      </c>
      <c r="I375" s="1335">
        <v>2.5479999999999999E-3</v>
      </c>
      <c r="J375" s="1335"/>
      <c r="K375" s="1336"/>
      <c r="L375" s="1322">
        <v>0.5</v>
      </c>
      <c r="M375" s="227">
        <f t="shared" si="111"/>
        <v>15.305835999999999</v>
      </c>
      <c r="N375" s="227">
        <f t="shared" si="88"/>
        <v>15.305835999999999</v>
      </c>
      <c r="O375" s="228">
        <f t="shared" si="89"/>
        <v>0</v>
      </c>
      <c r="P375" s="228">
        <f t="shared" si="112"/>
        <v>0</v>
      </c>
      <c r="Q375" s="1342">
        <v>0</v>
      </c>
      <c r="R375" s="512">
        <f>SUM(M334:M375)</f>
        <v>4286.9292039349984</v>
      </c>
    </row>
    <row r="376" spans="1:18" hidden="1" outlineLevel="1">
      <c r="A376" s="190" t="s">
        <v>817</v>
      </c>
      <c r="B376" s="1316" t="s">
        <v>434</v>
      </c>
      <c r="C376" s="1316" t="s">
        <v>435</v>
      </c>
      <c r="D376" s="1317" t="s">
        <v>432</v>
      </c>
      <c r="E376" s="1318">
        <v>1</v>
      </c>
      <c r="F376" s="1317" t="s">
        <v>868</v>
      </c>
      <c r="G376" s="1315">
        <v>1435</v>
      </c>
      <c r="H376" s="238">
        <f t="shared" si="118"/>
        <v>2.1114999999999998E-2</v>
      </c>
      <c r="I376" s="1333">
        <v>2.1114999999999998E-2</v>
      </c>
      <c r="J376" s="1333"/>
      <c r="K376" s="1334"/>
      <c r="L376" s="1318">
        <v>1</v>
      </c>
      <c r="M376" s="233">
        <f t="shared" si="111"/>
        <v>30.300024999999998</v>
      </c>
      <c r="N376" s="233">
        <f t="shared" si="88"/>
        <v>30.300024999999998</v>
      </c>
      <c r="O376" s="234">
        <f t="shared" si="89"/>
        <v>0</v>
      </c>
      <c r="P376" s="234">
        <f t="shared" si="112"/>
        <v>0</v>
      </c>
      <c r="Q376" s="1341">
        <v>0</v>
      </c>
    </row>
    <row r="377" spans="1:18" hidden="1" outlineLevel="1">
      <c r="A377" s="190" t="s">
        <v>817</v>
      </c>
      <c r="B377" s="1316" t="s">
        <v>434</v>
      </c>
      <c r="C377" s="1316" t="s">
        <v>435</v>
      </c>
      <c r="D377" s="1317" t="s">
        <v>432</v>
      </c>
      <c r="E377" s="1318">
        <v>1</v>
      </c>
      <c r="F377" s="1319" t="s">
        <v>441</v>
      </c>
      <c r="G377" s="1315">
        <v>552.89</v>
      </c>
      <c r="H377" s="238">
        <f t="shared" si="118"/>
        <v>1.0828000000000001E-2</v>
      </c>
      <c r="I377" s="1333">
        <v>1.0828000000000001E-2</v>
      </c>
      <c r="J377" s="1333"/>
      <c r="K377" s="1334"/>
      <c r="L377" s="1318">
        <v>1</v>
      </c>
      <c r="M377" s="233">
        <f t="shared" si="111"/>
        <v>5.9866929200000003</v>
      </c>
      <c r="N377" s="233">
        <f t="shared" si="88"/>
        <v>5.9866929200000003</v>
      </c>
      <c r="O377" s="234">
        <f t="shared" si="89"/>
        <v>0</v>
      </c>
      <c r="P377" s="234">
        <f t="shared" si="112"/>
        <v>0</v>
      </c>
      <c r="Q377" s="1341">
        <v>0</v>
      </c>
    </row>
    <row r="378" spans="1:18" hidden="1" outlineLevel="1">
      <c r="A378" s="190" t="s">
        <v>817</v>
      </c>
      <c r="B378" s="1316" t="s">
        <v>434</v>
      </c>
      <c r="C378" s="1316" t="s">
        <v>435</v>
      </c>
      <c r="D378" s="1317" t="s">
        <v>432</v>
      </c>
      <c r="E378" s="1318">
        <v>1</v>
      </c>
      <c r="F378" s="1319" t="s">
        <v>442</v>
      </c>
      <c r="G378" s="1315">
        <v>4582</v>
      </c>
      <c r="H378" s="238">
        <f t="shared" si="118"/>
        <v>1.2452000000000001E-2</v>
      </c>
      <c r="I378" s="1333">
        <v>5.4140000000000004E-3</v>
      </c>
      <c r="J378" s="1333">
        <v>7.038E-3</v>
      </c>
      <c r="K378" s="1334"/>
      <c r="L378" s="1318">
        <v>1</v>
      </c>
      <c r="M378" s="233">
        <f t="shared" si="111"/>
        <v>347.28810800000002</v>
      </c>
      <c r="N378" s="233">
        <f t="shared" si="88"/>
        <v>24.806948000000002</v>
      </c>
      <c r="O378" s="234">
        <f t="shared" si="89"/>
        <v>322.48116000000005</v>
      </c>
      <c r="P378" s="234">
        <f t="shared" si="112"/>
        <v>0</v>
      </c>
      <c r="Q378" s="1341">
        <v>0</v>
      </c>
    </row>
    <row r="379" spans="1:18" hidden="1" outlineLevel="1">
      <c r="A379" s="190" t="s">
        <v>817</v>
      </c>
      <c r="B379" s="1316" t="s">
        <v>434</v>
      </c>
      <c r="C379" s="1316" t="s">
        <v>435</v>
      </c>
      <c r="D379" s="1317" t="s">
        <v>432</v>
      </c>
      <c r="E379" s="1318">
        <v>1</v>
      </c>
      <c r="F379" s="1317" t="s">
        <v>443</v>
      </c>
      <c r="G379" s="1315">
        <v>2826</v>
      </c>
      <c r="H379" s="238">
        <f t="shared" si="118"/>
        <v>0.23280200000000001</v>
      </c>
      <c r="I379" s="1333">
        <v>0.23280200000000001</v>
      </c>
      <c r="J379" s="1333"/>
      <c r="K379" s="1334"/>
      <c r="L379" s="1318">
        <v>1</v>
      </c>
      <c r="M379" s="233">
        <f t="shared" si="111"/>
        <v>657.89845200000002</v>
      </c>
      <c r="N379" s="233">
        <f t="shared" si="88"/>
        <v>657.89845200000002</v>
      </c>
      <c r="O379" s="234">
        <f t="shared" si="89"/>
        <v>0</v>
      </c>
      <c r="P379" s="234">
        <f t="shared" si="112"/>
        <v>0</v>
      </c>
      <c r="Q379" s="1341">
        <v>0</v>
      </c>
    </row>
    <row r="380" spans="1:18" hidden="1" outlineLevel="1">
      <c r="A380" s="190" t="s">
        <v>817</v>
      </c>
      <c r="B380" s="1316" t="s">
        <v>434</v>
      </c>
      <c r="C380" s="1316" t="s">
        <v>435</v>
      </c>
      <c r="D380" s="1317" t="s">
        <v>432</v>
      </c>
      <c r="E380" s="1318">
        <v>1</v>
      </c>
      <c r="F380" s="1319" t="s">
        <v>444</v>
      </c>
      <c r="G380" s="1315">
        <v>12014</v>
      </c>
      <c r="H380" s="238">
        <f t="shared" si="118"/>
        <v>5.3599000000000008E-2</v>
      </c>
      <c r="I380" s="1333">
        <v>1.0828000000000001E-2</v>
      </c>
      <c r="J380" s="1333">
        <v>4.2771000000000003E-2</v>
      </c>
      <c r="K380" s="1334"/>
      <c r="L380" s="1318">
        <v>1</v>
      </c>
      <c r="M380" s="233">
        <f t="shared" si="111"/>
        <v>5268.5955320000003</v>
      </c>
      <c r="N380" s="233">
        <f t="shared" si="88"/>
        <v>130.087592</v>
      </c>
      <c r="O380" s="234">
        <f t="shared" si="89"/>
        <v>5138.5079400000004</v>
      </c>
      <c r="P380" s="234">
        <f t="shared" si="112"/>
        <v>0</v>
      </c>
      <c r="Q380" s="1341">
        <v>0</v>
      </c>
    </row>
    <row r="381" spans="1:18" s="177" customFormat="1" hidden="1" outlineLevel="1">
      <c r="A381" s="190" t="s">
        <v>817</v>
      </c>
      <c r="B381" s="1320" t="s">
        <v>434</v>
      </c>
      <c r="C381" s="1320" t="s">
        <v>435</v>
      </c>
      <c r="D381" s="1321" t="s">
        <v>432</v>
      </c>
      <c r="E381" s="1322">
        <v>1</v>
      </c>
      <c r="F381" s="1324" t="s">
        <v>445</v>
      </c>
      <c r="G381" s="1323">
        <v>24326</v>
      </c>
      <c r="H381" s="239">
        <f t="shared" si="118"/>
        <v>0</v>
      </c>
      <c r="I381" s="1335"/>
      <c r="J381" s="1335"/>
      <c r="K381" s="1336"/>
      <c r="L381" s="1322">
        <v>1</v>
      </c>
      <c r="M381" s="227">
        <f t="shared" si="111"/>
        <v>0</v>
      </c>
      <c r="N381" s="227">
        <f t="shared" si="88"/>
        <v>0</v>
      </c>
      <c r="O381" s="228">
        <f t="shared" si="89"/>
        <v>0</v>
      </c>
      <c r="P381" s="228">
        <f t="shared" si="112"/>
        <v>0</v>
      </c>
      <c r="Q381" s="1342">
        <v>0</v>
      </c>
    </row>
    <row r="382" spans="1:18" s="177" customFormat="1" hidden="1" outlineLevel="1">
      <c r="A382" s="190" t="s">
        <v>817</v>
      </c>
      <c r="B382" s="1320" t="s">
        <v>869</v>
      </c>
      <c r="C382" s="1320" t="s">
        <v>870</v>
      </c>
      <c r="D382" s="1321" t="s">
        <v>432</v>
      </c>
      <c r="E382" s="1322">
        <v>1</v>
      </c>
      <c r="F382" s="1324" t="s">
        <v>442</v>
      </c>
      <c r="G382" s="1323">
        <v>4582</v>
      </c>
      <c r="H382" s="239">
        <f t="shared" ref="H382:H385" si="145">SUM(I382:K382)</f>
        <v>0</v>
      </c>
      <c r="I382" s="1482"/>
      <c r="J382" s="1482"/>
      <c r="K382" s="1482"/>
      <c r="L382" s="1322">
        <v>0.5</v>
      </c>
      <c r="M382" s="520">
        <f t="shared" ref="M382:M385" si="146">SUM(N382:P382)-Q382</f>
        <v>0</v>
      </c>
      <c r="N382" s="521">
        <v>0</v>
      </c>
      <c r="O382" s="522">
        <f t="shared" ref="O382:O385" si="147">E382*G382*J382</f>
        <v>0</v>
      </c>
      <c r="P382" s="522"/>
      <c r="Q382" s="1342">
        <v>0</v>
      </c>
    </row>
    <row r="383" spans="1:18" s="177" customFormat="1" hidden="1" outlineLevel="1">
      <c r="A383" s="190" t="s">
        <v>817</v>
      </c>
      <c r="B383" s="1320" t="s">
        <v>1301</v>
      </c>
      <c r="C383" s="1320" t="s">
        <v>867</v>
      </c>
      <c r="D383" s="1321" t="s">
        <v>432</v>
      </c>
      <c r="E383" s="1322">
        <v>1.5</v>
      </c>
      <c r="F383" s="1324" t="s">
        <v>441</v>
      </c>
      <c r="G383" s="1323">
        <v>552.89</v>
      </c>
      <c r="H383" s="239">
        <f t="shared" si="145"/>
        <v>0</v>
      </c>
      <c r="I383" s="1482"/>
      <c r="J383" s="1482"/>
      <c r="K383" s="1482"/>
      <c r="L383" s="1322">
        <v>0.5</v>
      </c>
      <c r="M383" s="520">
        <f t="shared" si="146"/>
        <v>0</v>
      </c>
      <c r="N383" s="521">
        <v>0</v>
      </c>
      <c r="O383" s="522">
        <f t="shared" si="147"/>
        <v>0</v>
      </c>
      <c r="P383" s="522"/>
      <c r="Q383" s="1342">
        <v>0</v>
      </c>
    </row>
    <row r="384" spans="1:18" s="177" customFormat="1" hidden="1" outlineLevel="1">
      <c r="A384" s="190" t="s">
        <v>817</v>
      </c>
      <c r="B384" s="1325" t="s">
        <v>620</v>
      </c>
      <c r="C384" s="1325" t="s">
        <v>621</v>
      </c>
      <c r="D384" s="1321" t="s">
        <v>432</v>
      </c>
      <c r="E384" s="1327">
        <v>1</v>
      </c>
      <c r="F384" s="1324" t="s">
        <v>441</v>
      </c>
      <c r="G384" s="1323">
        <v>552.89</v>
      </c>
      <c r="H384" s="239">
        <f t="shared" si="145"/>
        <v>0</v>
      </c>
      <c r="I384" s="1482"/>
      <c r="J384" s="1338"/>
      <c r="K384" s="1338"/>
      <c r="L384" s="1322">
        <v>0.5</v>
      </c>
      <c r="M384" s="520">
        <f t="shared" si="146"/>
        <v>0</v>
      </c>
      <c r="N384" s="521">
        <v>0</v>
      </c>
      <c r="O384" s="522">
        <f t="shared" si="147"/>
        <v>0</v>
      </c>
      <c r="P384" s="522"/>
      <c r="Q384" s="1342">
        <v>0</v>
      </c>
    </row>
    <row r="385" spans="1:17" s="177" customFormat="1" hidden="1" outlineLevel="1">
      <c r="A385" s="190" t="s">
        <v>817</v>
      </c>
      <c r="B385" s="1325" t="s">
        <v>622</v>
      </c>
      <c r="C385" s="1325" t="s">
        <v>619</v>
      </c>
      <c r="D385" s="1321" t="s">
        <v>432</v>
      </c>
      <c r="E385" s="1327">
        <v>1</v>
      </c>
      <c r="F385" s="1324" t="s">
        <v>441</v>
      </c>
      <c r="G385" s="1323">
        <v>552.89</v>
      </c>
      <c r="H385" s="239">
        <f t="shared" si="145"/>
        <v>0</v>
      </c>
      <c r="I385" s="1482"/>
      <c r="J385" s="1338"/>
      <c r="K385" s="1338"/>
      <c r="L385" s="1322">
        <v>0.5</v>
      </c>
      <c r="M385" s="520">
        <f t="shared" si="146"/>
        <v>0</v>
      </c>
      <c r="N385" s="521">
        <v>0</v>
      </c>
      <c r="O385" s="522">
        <f t="shared" si="147"/>
        <v>0</v>
      </c>
      <c r="P385" s="522"/>
      <c r="Q385" s="1342">
        <v>0</v>
      </c>
    </row>
    <row r="386" spans="1:17" hidden="1" outlineLevel="1">
      <c r="A386" s="190" t="s">
        <v>817</v>
      </c>
      <c r="B386" s="1316" t="s">
        <v>436</v>
      </c>
      <c r="C386" s="1316" t="s">
        <v>591</v>
      </c>
      <c r="D386" s="1317" t="s">
        <v>432</v>
      </c>
      <c r="E386" s="1318">
        <v>1</v>
      </c>
      <c r="F386" s="1319" t="s">
        <v>868</v>
      </c>
      <c r="G386" s="1315">
        <v>1435</v>
      </c>
      <c r="H386" s="238">
        <f t="shared" si="118"/>
        <v>0</v>
      </c>
      <c r="I386" s="1333"/>
      <c r="J386" s="1333"/>
      <c r="K386" s="1334"/>
      <c r="L386" s="1318">
        <v>0.5</v>
      </c>
      <c r="M386" s="233">
        <f t="shared" si="111"/>
        <v>0</v>
      </c>
      <c r="N386" s="233">
        <f t="shared" si="88"/>
        <v>0</v>
      </c>
      <c r="O386" s="234">
        <f t="shared" si="89"/>
        <v>0</v>
      </c>
      <c r="P386" s="234">
        <f t="shared" si="112"/>
        <v>0</v>
      </c>
      <c r="Q386" s="1341">
        <v>0</v>
      </c>
    </row>
    <row r="387" spans="1:17" hidden="1" outlineLevel="1">
      <c r="A387" s="190" t="s">
        <v>817</v>
      </c>
      <c r="B387" s="1316" t="s">
        <v>436</v>
      </c>
      <c r="C387" s="1316" t="s">
        <v>591</v>
      </c>
      <c r="D387" s="1317" t="s">
        <v>432</v>
      </c>
      <c r="E387" s="1318">
        <v>1</v>
      </c>
      <c r="F387" s="1319" t="s">
        <v>441</v>
      </c>
      <c r="G387" s="1315">
        <v>552.89</v>
      </c>
      <c r="H387" s="238">
        <f t="shared" ref="H387:H415" si="148">SUM(I387:K387)</f>
        <v>0</v>
      </c>
      <c r="I387" s="1333"/>
      <c r="J387" s="1333"/>
      <c r="K387" s="1334"/>
      <c r="L387" s="1318">
        <v>0.5</v>
      </c>
      <c r="M387" s="233">
        <f t="shared" ref="M387:M415" si="149">SUM(N387:P387)-Q387</f>
        <v>0</v>
      </c>
      <c r="N387" s="233">
        <f t="shared" ref="N387:N415" si="150">E387*G387*I387*L387</f>
        <v>0</v>
      </c>
      <c r="O387" s="234">
        <f t="shared" ref="O387:O415" si="151">E387*G387*J387*L387*10</f>
        <v>0</v>
      </c>
      <c r="P387" s="234">
        <f t="shared" ref="P387:P415" si="152">E387*G387*K387*L387*15</f>
        <v>0</v>
      </c>
      <c r="Q387" s="1341">
        <v>0</v>
      </c>
    </row>
    <row r="388" spans="1:17" hidden="1" outlineLevel="1">
      <c r="A388" s="190" t="s">
        <v>817</v>
      </c>
      <c r="B388" s="1316" t="s">
        <v>436</v>
      </c>
      <c r="C388" s="1316" t="s">
        <v>591</v>
      </c>
      <c r="D388" s="1317" t="s">
        <v>432</v>
      </c>
      <c r="E388" s="1318">
        <v>1</v>
      </c>
      <c r="F388" s="1317" t="s">
        <v>443</v>
      </c>
      <c r="G388" s="1315">
        <v>2826</v>
      </c>
      <c r="H388" s="238">
        <f t="shared" si="148"/>
        <v>0</v>
      </c>
      <c r="I388" s="1333"/>
      <c r="J388" s="1333"/>
      <c r="K388" s="1334"/>
      <c r="L388" s="1318">
        <v>0.5</v>
      </c>
      <c r="M388" s="233">
        <f t="shared" si="149"/>
        <v>0</v>
      </c>
      <c r="N388" s="233">
        <f t="shared" si="150"/>
        <v>0</v>
      </c>
      <c r="O388" s="234">
        <f t="shared" si="151"/>
        <v>0</v>
      </c>
      <c r="P388" s="234">
        <f t="shared" si="152"/>
        <v>0</v>
      </c>
      <c r="Q388" s="1341">
        <v>0</v>
      </c>
    </row>
    <row r="389" spans="1:17" hidden="1" outlineLevel="1">
      <c r="A389" s="190" t="s">
        <v>817</v>
      </c>
      <c r="B389" s="1320" t="s">
        <v>436</v>
      </c>
      <c r="C389" s="1320" t="s">
        <v>591</v>
      </c>
      <c r="D389" s="1321" t="s">
        <v>432</v>
      </c>
      <c r="E389" s="1322">
        <v>1</v>
      </c>
      <c r="F389" s="1324" t="s">
        <v>444</v>
      </c>
      <c r="G389" s="1323">
        <v>12014</v>
      </c>
      <c r="H389" s="239">
        <f t="shared" si="148"/>
        <v>0</v>
      </c>
      <c r="I389" s="1335"/>
      <c r="J389" s="1335"/>
      <c r="K389" s="1336"/>
      <c r="L389" s="1322">
        <v>0.5</v>
      </c>
      <c r="M389" s="227">
        <f t="shared" si="149"/>
        <v>0</v>
      </c>
      <c r="N389" s="227">
        <f t="shared" si="150"/>
        <v>0</v>
      </c>
      <c r="O389" s="228">
        <f t="shared" si="151"/>
        <v>0</v>
      </c>
      <c r="P389" s="228">
        <f t="shared" si="152"/>
        <v>0</v>
      </c>
      <c r="Q389" s="1342">
        <v>0</v>
      </c>
    </row>
    <row r="390" spans="1:17" hidden="1" outlineLevel="1">
      <c r="A390" s="190" t="s">
        <v>817</v>
      </c>
      <c r="B390" s="1316" t="s">
        <v>437</v>
      </c>
      <c r="C390" s="1316" t="s">
        <v>592</v>
      </c>
      <c r="D390" s="1317" t="s">
        <v>432</v>
      </c>
      <c r="E390" s="1318">
        <v>1</v>
      </c>
      <c r="F390" s="1319" t="s">
        <v>868</v>
      </c>
      <c r="G390" s="1315">
        <v>1435</v>
      </c>
      <c r="H390" s="238">
        <f t="shared" si="148"/>
        <v>2.6350000000000002E-3</v>
      </c>
      <c r="I390" s="1333">
        <v>2.6350000000000002E-3</v>
      </c>
      <c r="J390" s="1333"/>
      <c r="K390" s="1334"/>
      <c r="L390" s="1318">
        <v>0.5</v>
      </c>
      <c r="M390" s="233">
        <f t="shared" si="149"/>
        <v>1.8906125</v>
      </c>
      <c r="N390" s="233">
        <f t="shared" si="150"/>
        <v>1.8906125</v>
      </c>
      <c r="O390" s="234">
        <f t="shared" si="151"/>
        <v>0</v>
      </c>
      <c r="P390" s="234">
        <f t="shared" si="152"/>
        <v>0</v>
      </c>
      <c r="Q390" s="1341">
        <v>0</v>
      </c>
    </row>
    <row r="391" spans="1:17" hidden="1" outlineLevel="1">
      <c r="A391" s="190" t="s">
        <v>817</v>
      </c>
      <c r="B391" s="1316" t="s">
        <v>437</v>
      </c>
      <c r="C391" s="1316" t="s">
        <v>592</v>
      </c>
      <c r="D391" s="1317" t="s">
        <v>432</v>
      </c>
      <c r="E391" s="1318">
        <v>1</v>
      </c>
      <c r="F391" s="1319" t="s">
        <v>441</v>
      </c>
      <c r="G391" s="1315">
        <v>552.89</v>
      </c>
      <c r="H391" s="238">
        <f t="shared" si="148"/>
        <v>6.8000000000000005E-4</v>
      </c>
      <c r="I391" s="1333">
        <v>6.8000000000000005E-4</v>
      </c>
      <c r="J391" s="1333"/>
      <c r="K391" s="1334"/>
      <c r="L391" s="1318">
        <v>0.5</v>
      </c>
      <c r="M391" s="233">
        <f t="shared" si="149"/>
        <v>0.1879826</v>
      </c>
      <c r="N391" s="233">
        <f t="shared" si="150"/>
        <v>0.1879826</v>
      </c>
      <c r="O391" s="234">
        <f t="shared" si="151"/>
        <v>0</v>
      </c>
      <c r="P391" s="234">
        <f t="shared" si="152"/>
        <v>0</v>
      </c>
      <c r="Q391" s="1341">
        <v>0</v>
      </c>
    </row>
    <row r="392" spans="1:17" hidden="1" outlineLevel="1">
      <c r="A392" s="190" t="s">
        <v>817</v>
      </c>
      <c r="B392" s="1316" t="s">
        <v>437</v>
      </c>
      <c r="C392" s="1316" t="s">
        <v>592</v>
      </c>
      <c r="D392" s="1317" t="s">
        <v>432</v>
      </c>
      <c r="E392" s="1318">
        <v>1</v>
      </c>
      <c r="F392" s="1319" t="s">
        <v>443</v>
      </c>
      <c r="G392" s="1315">
        <v>2826</v>
      </c>
      <c r="H392" s="238">
        <f t="shared" si="148"/>
        <v>8.4999999999999995E-4</v>
      </c>
      <c r="I392" s="1333">
        <v>8.4999999999999995E-4</v>
      </c>
      <c r="J392" s="1333"/>
      <c r="K392" s="1334"/>
      <c r="L392" s="1318">
        <v>0.5</v>
      </c>
      <c r="M392" s="233">
        <f t="shared" si="149"/>
        <v>1.20105</v>
      </c>
      <c r="N392" s="233">
        <f t="shared" si="150"/>
        <v>1.20105</v>
      </c>
      <c r="O392" s="234">
        <f t="shared" si="151"/>
        <v>0</v>
      </c>
      <c r="P392" s="234">
        <f t="shared" si="152"/>
        <v>0</v>
      </c>
      <c r="Q392" s="1341">
        <v>0</v>
      </c>
    </row>
    <row r="393" spans="1:17" hidden="1" outlineLevel="1">
      <c r="A393" s="190" t="s">
        <v>817</v>
      </c>
      <c r="B393" s="1320" t="s">
        <v>437</v>
      </c>
      <c r="C393" s="1320" t="s">
        <v>592</v>
      </c>
      <c r="D393" s="1321" t="s">
        <v>432</v>
      </c>
      <c r="E393" s="1322">
        <v>1</v>
      </c>
      <c r="F393" s="1321" t="s">
        <v>444</v>
      </c>
      <c r="G393" s="1323">
        <v>12014</v>
      </c>
      <c r="H393" s="239">
        <f t="shared" si="148"/>
        <v>1.8699999999999999E-4</v>
      </c>
      <c r="I393" s="1335">
        <v>1.8699999999999999E-4</v>
      </c>
      <c r="J393" s="1335"/>
      <c r="K393" s="1336"/>
      <c r="L393" s="1322">
        <v>0.5</v>
      </c>
      <c r="M393" s="227">
        <f t="shared" si="149"/>
        <v>1.1233089999999999</v>
      </c>
      <c r="N393" s="227">
        <f t="shared" si="150"/>
        <v>1.1233089999999999</v>
      </c>
      <c r="O393" s="228">
        <f t="shared" si="151"/>
        <v>0</v>
      </c>
      <c r="P393" s="228">
        <f t="shared" si="152"/>
        <v>0</v>
      </c>
      <c r="Q393" s="1342">
        <v>0</v>
      </c>
    </row>
    <row r="394" spans="1:17" hidden="1" outlineLevel="1">
      <c r="A394" s="190" t="s">
        <v>817</v>
      </c>
      <c r="B394" s="1316" t="s">
        <v>438</v>
      </c>
      <c r="C394" s="1316" t="s">
        <v>593</v>
      </c>
      <c r="D394" s="1317" t="s">
        <v>432</v>
      </c>
      <c r="E394" s="1318">
        <v>1</v>
      </c>
      <c r="F394" s="1319" t="s">
        <v>868</v>
      </c>
      <c r="G394" s="1315">
        <v>1435</v>
      </c>
      <c r="H394" s="238">
        <f t="shared" si="148"/>
        <v>7.7479999999999997E-3</v>
      </c>
      <c r="I394" s="1333">
        <v>7.7479999999999997E-3</v>
      </c>
      <c r="J394" s="1333"/>
      <c r="K394" s="1334"/>
      <c r="L394" s="1318">
        <v>1</v>
      </c>
      <c r="M394" s="233">
        <f t="shared" si="149"/>
        <v>11.11838</v>
      </c>
      <c r="N394" s="233">
        <f t="shared" si="150"/>
        <v>11.11838</v>
      </c>
      <c r="O394" s="234">
        <f t="shared" si="151"/>
        <v>0</v>
      </c>
      <c r="P394" s="234">
        <f t="shared" si="152"/>
        <v>0</v>
      </c>
      <c r="Q394" s="1341">
        <v>0</v>
      </c>
    </row>
    <row r="395" spans="1:17" hidden="1" outlineLevel="1">
      <c r="A395" s="190" t="s">
        <v>817</v>
      </c>
      <c r="B395" s="1316" t="s">
        <v>438</v>
      </c>
      <c r="C395" s="1316" t="s">
        <v>593</v>
      </c>
      <c r="D395" s="1317" t="s">
        <v>432</v>
      </c>
      <c r="E395" s="1318">
        <v>1</v>
      </c>
      <c r="F395" s="1319" t="s">
        <v>441</v>
      </c>
      <c r="G395" s="1315">
        <v>552.89</v>
      </c>
      <c r="H395" s="238">
        <f t="shared" si="148"/>
        <v>1.0132E-2</v>
      </c>
      <c r="I395" s="1333">
        <v>8.94E-3</v>
      </c>
      <c r="J395" s="1333">
        <v>1.1919999999999999E-3</v>
      </c>
      <c r="K395" s="1334"/>
      <c r="L395" s="1318">
        <v>1</v>
      </c>
      <c r="M395" s="233">
        <f t="shared" si="149"/>
        <v>11.533285399999999</v>
      </c>
      <c r="N395" s="233">
        <f t="shared" si="150"/>
        <v>4.9428365999999997</v>
      </c>
      <c r="O395" s="234">
        <f t="shared" si="151"/>
        <v>6.590448799999999</v>
      </c>
      <c r="P395" s="234">
        <f t="shared" si="152"/>
        <v>0</v>
      </c>
      <c r="Q395" s="1341">
        <v>0</v>
      </c>
    </row>
    <row r="396" spans="1:17" hidden="1" outlineLevel="1">
      <c r="A396" s="190" t="s">
        <v>817</v>
      </c>
      <c r="B396" s="1316" t="s">
        <v>438</v>
      </c>
      <c r="C396" s="1316" t="s">
        <v>593</v>
      </c>
      <c r="D396" s="1317" t="s">
        <v>432</v>
      </c>
      <c r="E396" s="1318">
        <v>1</v>
      </c>
      <c r="F396" s="1319" t="s">
        <v>442</v>
      </c>
      <c r="G396" s="1315">
        <v>4582</v>
      </c>
      <c r="H396" s="238">
        <f t="shared" si="148"/>
        <v>1.073E-3</v>
      </c>
      <c r="I396" s="1333">
        <v>5.9599999999999996E-4</v>
      </c>
      <c r="J396" s="1333">
        <v>4.7699999999999999E-4</v>
      </c>
      <c r="K396" s="1334"/>
      <c r="L396" s="1318">
        <v>1</v>
      </c>
      <c r="M396" s="233">
        <f t="shared" si="149"/>
        <v>24.587012000000001</v>
      </c>
      <c r="N396" s="233">
        <f t="shared" si="150"/>
        <v>2.7308719999999997</v>
      </c>
      <c r="O396" s="234">
        <f t="shared" si="151"/>
        <v>21.856140000000003</v>
      </c>
      <c r="P396" s="234">
        <f t="shared" si="152"/>
        <v>0</v>
      </c>
      <c r="Q396" s="1341">
        <v>0</v>
      </c>
    </row>
    <row r="397" spans="1:17" hidden="1" outlineLevel="1">
      <c r="A397" s="190" t="s">
        <v>817</v>
      </c>
      <c r="B397" s="1316" t="s">
        <v>438</v>
      </c>
      <c r="C397" s="1316" t="s">
        <v>593</v>
      </c>
      <c r="D397" s="1317" t="s">
        <v>432</v>
      </c>
      <c r="E397" s="1318">
        <v>1</v>
      </c>
      <c r="F397" s="1317" t="s">
        <v>443</v>
      </c>
      <c r="G397" s="1315">
        <v>2826</v>
      </c>
      <c r="H397" s="238">
        <f t="shared" si="148"/>
        <v>1.2515999999999999E-2</v>
      </c>
      <c r="I397" s="1333">
        <v>8.94E-3</v>
      </c>
      <c r="J397" s="1333">
        <v>3.5760000000000002E-3</v>
      </c>
      <c r="K397" s="1334"/>
      <c r="L397" s="1318">
        <v>1</v>
      </c>
      <c r="M397" s="233">
        <f t="shared" si="149"/>
        <v>126.32220000000001</v>
      </c>
      <c r="N397" s="233">
        <f t="shared" si="150"/>
        <v>25.26444</v>
      </c>
      <c r="O397" s="234">
        <f t="shared" si="151"/>
        <v>101.05776</v>
      </c>
      <c r="P397" s="234">
        <f t="shared" si="152"/>
        <v>0</v>
      </c>
      <c r="Q397" s="1341">
        <v>0</v>
      </c>
    </row>
    <row r="398" spans="1:17" hidden="1" outlineLevel="1">
      <c r="A398" s="190" t="s">
        <v>817</v>
      </c>
      <c r="B398" s="1316" t="s">
        <v>438</v>
      </c>
      <c r="C398" s="1316" t="s">
        <v>593</v>
      </c>
      <c r="D398" s="1317" t="s">
        <v>432</v>
      </c>
      <c r="E398" s="1318">
        <v>1</v>
      </c>
      <c r="F398" s="1319" t="s">
        <v>444</v>
      </c>
      <c r="G398" s="1315">
        <v>12014</v>
      </c>
      <c r="H398" s="238">
        <f t="shared" si="148"/>
        <v>1.967E-3</v>
      </c>
      <c r="I398" s="1333">
        <v>2.9799999999999998E-4</v>
      </c>
      <c r="J398" s="1333">
        <v>1.6689999999999999E-3</v>
      </c>
      <c r="K398" s="1334"/>
      <c r="L398" s="1318">
        <v>1</v>
      </c>
      <c r="M398" s="233">
        <f t="shared" si="149"/>
        <v>204.09383199999999</v>
      </c>
      <c r="N398" s="233">
        <f t="shared" si="150"/>
        <v>3.5801719999999997</v>
      </c>
      <c r="O398" s="234">
        <f t="shared" si="151"/>
        <v>200.51365999999999</v>
      </c>
      <c r="P398" s="234">
        <f t="shared" si="152"/>
        <v>0</v>
      </c>
      <c r="Q398" s="1341">
        <v>0</v>
      </c>
    </row>
    <row r="399" spans="1:17" hidden="1" outlineLevel="1">
      <c r="A399" s="190" t="s">
        <v>817</v>
      </c>
      <c r="B399" s="1320" t="s">
        <v>438</v>
      </c>
      <c r="C399" s="1320" t="s">
        <v>593</v>
      </c>
      <c r="D399" s="1321" t="s">
        <v>432</v>
      </c>
      <c r="E399" s="1322">
        <v>1</v>
      </c>
      <c r="F399" s="1324" t="s">
        <v>445</v>
      </c>
      <c r="G399" s="1323">
        <v>24326</v>
      </c>
      <c r="H399" s="239">
        <f t="shared" si="148"/>
        <v>0</v>
      </c>
      <c r="I399" s="1335"/>
      <c r="J399" s="1335"/>
      <c r="K399" s="1336"/>
      <c r="L399" s="1322">
        <v>1</v>
      </c>
      <c r="M399" s="227">
        <f t="shared" si="149"/>
        <v>0</v>
      </c>
      <c r="N399" s="227">
        <f t="shared" si="150"/>
        <v>0</v>
      </c>
      <c r="O399" s="228">
        <f t="shared" si="151"/>
        <v>0</v>
      </c>
      <c r="P399" s="228">
        <f t="shared" si="152"/>
        <v>0</v>
      </c>
      <c r="Q399" s="1342">
        <v>0</v>
      </c>
    </row>
    <row r="400" spans="1:17" hidden="1" outlineLevel="1">
      <c r="A400" s="190" t="s">
        <v>817</v>
      </c>
      <c r="B400" s="1316" t="s">
        <v>418</v>
      </c>
      <c r="C400" s="1316" t="s">
        <v>439</v>
      </c>
      <c r="D400" s="1317" t="s">
        <v>432</v>
      </c>
      <c r="E400" s="1318">
        <v>1.5</v>
      </c>
      <c r="F400" s="1319" t="s">
        <v>868</v>
      </c>
      <c r="G400" s="1315">
        <v>1435</v>
      </c>
      <c r="H400" s="238">
        <f t="shared" si="148"/>
        <v>1.0068000000000001E-2</v>
      </c>
      <c r="I400" s="1333">
        <v>1.0068000000000001E-2</v>
      </c>
      <c r="J400" s="1333"/>
      <c r="K400" s="1334"/>
      <c r="L400" s="1318">
        <v>1</v>
      </c>
      <c r="M400" s="233">
        <f t="shared" si="149"/>
        <v>21.67137</v>
      </c>
      <c r="N400" s="233">
        <f t="shared" si="150"/>
        <v>21.67137</v>
      </c>
      <c r="O400" s="234">
        <f t="shared" si="151"/>
        <v>0</v>
      </c>
      <c r="P400" s="234">
        <f t="shared" si="152"/>
        <v>0</v>
      </c>
      <c r="Q400" s="1341">
        <v>0</v>
      </c>
    </row>
    <row r="401" spans="1:18" hidden="1" outlineLevel="1">
      <c r="A401" s="190" t="s">
        <v>817</v>
      </c>
      <c r="B401" s="1316" t="s">
        <v>418</v>
      </c>
      <c r="C401" s="1316" t="s">
        <v>439</v>
      </c>
      <c r="D401" s="1317" t="s">
        <v>432</v>
      </c>
      <c r="E401" s="1318">
        <v>1.5</v>
      </c>
      <c r="F401" s="1317" t="s">
        <v>441</v>
      </c>
      <c r="G401" s="1315">
        <v>552.89</v>
      </c>
      <c r="H401" s="238">
        <f t="shared" si="148"/>
        <v>3.356E-2</v>
      </c>
      <c r="I401" s="1333">
        <v>3.356E-2</v>
      </c>
      <c r="J401" s="1333"/>
      <c r="K401" s="1334"/>
      <c r="L401" s="1318">
        <v>1</v>
      </c>
      <c r="M401" s="233">
        <f t="shared" si="149"/>
        <v>27.832482600000002</v>
      </c>
      <c r="N401" s="233">
        <f t="shared" si="150"/>
        <v>27.832482600000002</v>
      </c>
      <c r="O401" s="234">
        <f t="shared" si="151"/>
        <v>0</v>
      </c>
      <c r="P401" s="234">
        <f t="shared" si="152"/>
        <v>0</v>
      </c>
      <c r="Q401" s="1341">
        <v>0</v>
      </c>
    </row>
    <row r="402" spans="1:18" hidden="1" outlineLevel="1">
      <c r="A402" s="190" t="s">
        <v>817</v>
      </c>
      <c r="B402" s="1316" t="s">
        <v>418</v>
      </c>
      <c r="C402" s="1316" t="s">
        <v>439</v>
      </c>
      <c r="D402" s="1317" t="s">
        <v>432</v>
      </c>
      <c r="E402" s="1318">
        <v>1.5</v>
      </c>
      <c r="F402" s="1319" t="s">
        <v>442</v>
      </c>
      <c r="G402" s="1315">
        <v>4582</v>
      </c>
      <c r="H402" s="238">
        <f t="shared" si="148"/>
        <v>0</v>
      </c>
      <c r="I402" s="1333"/>
      <c r="J402" s="1333"/>
      <c r="K402" s="1334"/>
      <c r="L402" s="1318">
        <v>1</v>
      </c>
      <c r="M402" s="233">
        <f t="shared" si="149"/>
        <v>0</v>
      </c>
      <c r="N402" s="233">
        <f t="shared" si="150"/>
        <v>0</v>
      </c>
      <c r="O402" s="234">
        <f t="shared" si="151"/>
        <v>0</v>
      </c>
      <c r="P402" s="234">
        <f t="shared" si="152"/>
        <v>0</v>
      </c>
      <c r="Q402" s="1341">
        <v>0</v>
      </c>
    </row>
    <row r="403" spans="1:18" hidden="1" outlineLevel="1">
      <c r="A403" s="190" t="s">
        <v>817</v>
      </c>
      <c r="B403" s="1316" t="s">
        <v>418</v>
      </c>
      <c r="C403" s="1316" t="s">
        <v>439</v>
      </c>
      <c r="D403" s="1317" t="s">
        <v>432</v>
      </c>
      <c r="E403" s="1318">
        <v>1.5</v>
      </c>
      <c r="F403" s="1319" t="s">
        <v>443</v>
      </c>
      <c r="G403" s="1315">
        <v>2826</v>
      </c>
      <c r="H403" s="238">
        <f t="shared" si="148"/>
        <v>4.0272000000000002E-2</v>
      </c>
      <c r="I403" s="1333">
        <v>4.0272000000000002E-2</v>
      </c>
      <c r="J403" s="1333"/>
      <c r="K403" s="1334"/>
      <c r="L403" s="1318">
        <v>1</v>
      </c>
      <c r="M403" s="233">
        <f t="shared" si="149"/>
        <v>170.713008</v>
      </c>
      <c r="N403" s="233">
        <f t="shared" si="150"/>
        <v>170.713008</v>
      </c>
      <c r="O403" s="234">
        <f t="shared" si="151"/>
        <v>0</v>
      </c>
      <c r="P403" s="234">
        <f t="shared" si="152"/>
        <v>0</v>
      </c>
      <c r="Q403" s="1341">
        <v>0</v>
      </c>
    </row>
    <row r="404" spans="1:18" hidden="1" outlineLevel="1">
      <c r="A404" s="190" t="s">
        <v>817</v>
      </c>
      <c r="B404" s="1316" t="s">
        <v>418</v>
      </c>
      <c r="C404" s="1316" t="s">
        <v>439</v>
      </c>
      <c r="D404" s="1317" t="s">
        <v>432</v>
      </c>
      <c r="E404" s="1318">
        <v>1.5</v>
      </c>
      <c r="F404" s="1319" t="s">
        <v>444</v>
      </c>
      <c r="G404" s="1315">
        <v>12014</v>
      </c>
      <c r="H404" s="238">
        <f t="shared" si="148"/>
        <v>9.0600000000000001E-4</v>
      </c>
      <c r="I404" s="1333">
        <v>9.0600000000000001E-4</v>
      </c>
      <c r="J404" s="1333"/>
      <c r="K404" s="1334"/>
      <c r="L404" s="1318">
        <v>1</v>
      </c>
      <c r="M404" s="233">
        <f t="shared" si="149"/>
        <v>16.327026</v>
      </c>
      <c r="N404" s="233">
        <f t="shared" si="150"/>
        <v>16.327026</v>
      </c>
      <c r="O404" s="234">
        <f t="shared" si="151"/>
        <v>0</v>
      </c>
      <c r="P404" s="234">
        <f t="shared" si="152"/>
        <v>0</v>
      </c>
      <c r="Q404" s="1341">
        <v>0</v>
      </c>
    </row>
    <row r="405" spans="1:18" hidden="1" outlineLevel="1">
      <c r="A405" s="190" t="s">
        <v>817</v>
      </c>
      <c r="B405" s="1320" t="s">
        <v>418</v>
      </c>
      <c r="C405" s="1320" t="s">
        <v>439</v>
      </c>
      <c r="D405" s="1321" t="s">
        <v>432</v>
      </c>
      <c r="E405" s="1322">
        <v>1.5</v>
      </c>
      <c r="F405" s="1324" t="s">
        <v>445</v>
      </c>
      <c r="G405" s="1323">
        <v>24326</v>
      </c>
      <c r="H405" s="239">
        <f t="shared" ref="H405:H411" si="153">SUM(I405:K405)</f>
        <v>8.0599999999999997E-4</v>
      </c>
      <c r="I405" s="1335">
        <v>3.3599999999999998E-4</v>
      </c>
      <c r="J405" s="1335">
        <v>4.6999999999999999E-4</v>
      </c>
      <c r="K405" s="1336"/>
      <c r="L405" s="1322">
        <v>1</v>
      </c>
      <c r="M405" s="227">
        <f t="shared" ref="M405:M411" si="154">SUM(N405:P405)-Q405</f>
        <v>183.75860399999996</v>
      </c>
      <c r="N405" s="227">
        <f t="shared" ref="N405:N411" si="155">E405*G405*I405*L405</f>
        <v>12.260304</v>
      </c>
      <c r="O405" s="228">
        <f t="shared" ref="O405:O411" si="156">E405*G405*J405*L405*10</f>
        <v>171.49829999999997</v>
      </c>
      <c r="P405" s="228">
        <f t="shared" ref="P405:P411" si="157">E405*G405*K405*L405*15</f>
        <v>0</v>
      </c>
      <c r="Q405" s="1342">
        <v>0</v>
      </c>
    </row>
    <row r="406" spans="1:18" hidden="1" outlineLevel="1">
      <c r="A406" s="190" t="s">
        <v>817</v>
      </c>
      <c r="B406" s="1316" t="s">
        <v>411</v>
      </c>
      <c r="C406" s="1316" t="s">
        <v>440</v>
      </c>
      <c r="D406" s="1317" t="s">
        <v>432</v>
      </c>
      <c r="E406" s="1318">
        <v>1.5</v>
      </c>
      <c r="F406" s="1317" t="s">
        <v>868</v>
      </c>
      <c r="G406" s="1315">
        <v>1435</v>
      </c>
      <c r="H406" s="238">
        <f t="shared" si="153"/>
        <v>2.3004E-2</v>
      </c>
      <c r="I406" s="1333">
        <v>2.3004E-2</v>
      </c>
      <c r="J406" s="1333"/>
      <c r="K406" s="1334"/>
      <c r="L406" s="1318">
        <v>0.5</v>
      </c>
      <c r="M406" s="233">
        <f t="shared" si="154"/>
        <v>24.758054999999999</v>
      </c>
      <c r="N406" s="233">
        <f t="shared" si="155"/>
        <v>24.758054999999999</v>
      </c>
      <c r="O406" s="234">
        <f t="shared" si="156"/>
        <v>0</v>
      </c>
      <c r="P406" s="234">
        <f t="shared" si="157"/>
        <v>0</v>
      </c>
      <c r="Q406" s="1341">
        <v>0</v>
      </c>
    </row>
    <row r="407" spans="1:18" hidden="1" outlineLevel="1">
      <c r="A407" s="190" t="s">
        <v>817</v>
      </c>
      <c r="B407" s="1316" t="s">
        <v>411</v>
      </c>
      <c r="C407" s="1316" t="s">
        <v>440</v>
      </c>
      <c r="D407" s="1317" t="s">
        <v>432</v>
      </c>
      <c r="E407" s="1318">
        <v>1.5</v>
      </c>
      <c r="F407" s="1319" t="s">
        <v>441</v>
      </c>
      <c r="G407" s="1315">
        <v>552.89</v>
      </c>
      <c r="H407" s="238">
        <f t="shared" si="153"/>
        <v>3.8340000000000002E-3</v>
      </c>
      <c r="I407" s="1333">
        <v>3.8340000000000002E-3</v>
      </c>
      <c r="J407" s="1333"/>
      <c r="K407" s="1334"/>
      <c r="L407" s="1318">
        <v>0.5</v>
      </c>
      <c r="M407" s="233">
        <f t="shared" si="154"/>
        <v>1.589835195</v>
      </c>
      <c r="N407" s="233">
        <f t="shared" si="155"/>
        <v>1.589835195</v>
      </c>
      <c r="O407" s="234">
        <f t="shared" si="156"/>
        <v>0</v>
      </c>
      <c r="P407" s="234">
        <f t="shared" si="157"/>
        <v>0</v>
      </c>
      <c r="Q407" s="1341">
        <v>0</v>
      </c>
    </row>
    <row r="408" spans="1:18" hidden="1" outlineLevel="1">
      <c r="A408" s="190" t="s">
        <v>817</v>
      </c>
      <c r="B408" s="1316" t="s">
        <v>411</v>
      </c>
      <c r="C408" s="1316" t="s">
        <v>440</v>
      </c>
      <c r="D408" s="1317" t="s">
        <v>432</v>
      </c>
      <c r="E408" s="1318">
        <v>1.5</v>
      </c>
      <c r="F408" s="1319" t="s">
        <v>442</v>
      </c>
      <c r="G408" s="1315">
        <v>4582</v>
      </c>
      <c r="H408" s="238">
        <f t="shared" si="153"/>
        <v>0</v>
      </c>
      <c r="I408" s="1333"/>
      <c r="J408" s="1333"/>
      <c r="K408" s="1334"/>
      <c r="L408" s="1318">
        <v>0.5</v>
      </c>
      <c r="M408" s="233">
        <f t="shared" si="154"/>
        <v>0</v>
      </c>
      <c r="N408" s="233">
        <f t="shared" si="155"/>
        <v>0</v>
      </c>
      <c r="O408" s="234">
        <f t="shared" si="156"/>
        <v>0</v>
      </c>
      <c r="P408" s="234">
        <f t="shared" si="157"/>
        <v>0</v>
      </c>
      <c r="Q408" s="1341">
        <v>0</v>
      </c>
    </row>
    <row r="409" spans="1:18" hidden="1" outlineLevel="1">
      <c r="A409" s="190" t="s">
        <v>817</v>
      </c>
      <c r="B409" s="1316" t="s">
        <v>411</v>
      </c>
      <c r="C409" s="1316" t="s">
        <v>440</v>
      </c>
      <c r="D409" s="1317" t="s">
        <v>432</v>
      </c>
      <c r="E409" s="1318">
        <v>1.5</v>
      </c>
      <c r="F409" s="1319" t="s">
        <v>443</v>
      </c>
      <c r="G409" s="1315">
        <v>2826</v>
      </c>
      <c r="H409" s="238">
        <f t="shared" si="153"/>
        <v>6.9012000000000004E-2</v>
      </c>
      <c r="I409" s="1333">
        <v>6.9012000000000004E-2</v>
      </c>
      <c r="J409" s="1333"/>
      <c r="K409" s="1334"/>
      <c r="L409" s="1318">
        <v>0.5</v>
      </c>
      <c r="M409" s="233">
        <f t="shared" si="154"/>
        <v>146.27093400000001</v>
      </c>
      <c r="N409" s="233">
        <f t="shared" si="155"/>
        <v>146.27093400000001</v>
      </c>
      <c r="O409" s="234">
        <f t="shared" si="156"/>
        <v>0</v>
      </c>
      <c r="P409" s="234">
        <f t="shared" si="157"/>
        <v>0</v>
      </c>
      <c r="Q409" s="1341">
        <v>0</v>
      </c>
    </row>
    <row r="410" spans="1:18" hidden="1" outlineLevel="1">
      <c r="A410" s="190" t="s">
        <v>817</v>
      </c>
      <c r="B410" s="1320" t="s">
        <v>411</v>
      </c>
      <c r="C410" s="1320" t="s">
        <v>440</v>
      </c>
      <c r="D410" s="1321" t="s">
        <v>432</v>
      </c>
      <c r="E410" s="1322">
        <v>1.5</v>
      </c>
      <c r="F410" s="1324" t="s">
        <v>444</v>
      </c>
      <c r="G410" s="1323">
        <v>12014</v>
      </c>
      <c r="H410" s="239">
        <f t="shared" si="153"/>
        <v>1.0160000000000001E-2</v>
      </c>
      <c r="I410" s="1335">
        <v>1.0160000000000001E-2</v>
      </c>
      <c r="J410" s="1335"/>
      <c r="K410" s="1336"/>
      <c r="L410" s="1322">
        <v>0.5</v>
      </c>
      <c r="M410" s="227">
        <f t="shared" si="154"/>
        <v>91.546680000000009</v>
      </c>
      <c r="N410" s="227">
        <f t="shared" si="155"/>
        <v>91.546680000000009</v>
      </c>
      <c r="O410" s="228">
        <f t="shared" si="156"/>
        <v>0</v>
      </c>
      <c r="P410" s="228">
        <f t="shared" si="157"/>
        <v>0</v>
      </c>
      <c r="Q410" s="1342">
        <v>0</v>
      </c>
    </row>
    <row r="411" spans="1:18" hidden="1" outlineLevel="1">
      <c r="A411" s="190" t="s">
        <v>817</v>
      </c>
      <c r="B411" s="1316" t="s">
        <v>409</v>
      </c>
      <c r="C411" s="1316" t="s">
        <v>594</v>
      </c>
      <c r="D411" s="1317" t="s">
        <v>432</v>
      </c>
      <c r="E411" s="1318">
        <v>1</v>
      </c>
      <c r="F411" s="1319" t="s">
        <v>868</v>
      </c>
      <c r="G411" s="1315">
        <v>1435</v>
      </c>
      <c r="H411" s="238">
        <f t="shared" si="153"/>
        <v>3.456E-2</v>
      </c>
      <c r="I411" s="1333">
        <v>2.8799999999999999E-2</v>
      </c>
      <c r="J411" s="1333">
        <v>5.7600000000000004E-3</v>
      </c>
      <c r="K411" s="1334"/>
      <c r="L411" s="1318">
        <v>1</v>
      </c>
      <c r="M411" s="233">
        <f t="shared" si="154"/>
        <v>123.98400000000001</v>
      </c>
      <c r="N411" s="233">
        <f t="shared" si="155"/>
        <v>41.327999999999996</v>
      </c>
      <c r="O411" s="234">
        <f t="shared" si="156"/>
        <v>82.656000000000006</v>
      </c>
      <c r="P411" s="234">
        <f t="shared" si="157"/>
        <v>0</v>
      </c>
      <c r="Q411" s="1341">
        <v>0</v>
      </c>
    </row>
    <row r="412" spans="1:18" hidden="1" outlineLevel="1">
      <c r="A412" s="190" t="s">
        <v>817</v>
      </c>
      <c r="B412" s="1316" t="s">
        <v>409</v>
      </c>
      <c r="C412" s="1316" t="s">
        <v>594</v>
      </c>
      <c r="D412" s="1317" t="s">
        <v>432</v>
      </c>
      <c r="E412" s="1318">
        <v>1</v>
      </c>
      <c r="F412" s="1319" t="s">
        <v>441</v>
      </c>
      <c r="G412" s="1315">
        <v>552.89</v>
      </c>
      <c r="H412" s="238">
        <f t="shared" si="148"/>
        <v>2.376E-2</v>
      </c>
      <c r="I412" s="1333">
        <v>2.376E-2</v>
      </c>
      <c r="J412" s="1333"/>
      <c r="K412" s="1334"/>
      <c r="L412" s="1318">
        <v>1</v>
      </c>
      <c r="M412" s="233">
        <f t="shared" si="149"/>
        <v>13.136666399999999</v>
      </c>
      <c r="N412" s="233">
        <f t="shared" si="150"/>
        <v>13.136666399999999</v>
      </c>
      <c r="O412" s="234">
        <f t="shared" si="151"/>
        <v>0</v>
      </c>
      <c r="P412" s="234">
        <f t="shared" si="152"/>
        <v>0</v>
      </c>
      <c r="Q412" s="1341">
        <v>0</v>
      </c>
    </row>
    <row r="413" spans="1:18" hidden="1" outlineLevel="1">
      <c r="A413" s="190" t="s">
        <v>817</v>
      </c>
      <c r="B413" s="1316" t="s">
        <v>409</v>
      </c>
      <c r="C413" s="1316" t="s">
        <v>594</v>
      </c>
      <c r="D413" s="1317" t="s">
        <v>432</v>
      </c>
      <c r="E413" s="1318">
        <v>1</v>
      </c>
      <c r="F413" s="1317" t="s">
        <v>442</v>
      </c>
      <c r="G413" s="1315">
        <v>4582</v>
      </c>
      <c r="H413" s="238">
        <f t="shared" si="148"/>
        <v>0</v>
      </c>
      <c r="I413" s="1333"/>
      <c r="J413" s="1333"/>
      <c r="K413" s="1334"/>
      <c r="L413" s="1318">
        <v>1</v>
      </c>
      <c r="M413" s="233">
        <f t="shared" si="149"/>
        <v>0</v>
      </c>
      <c r="N413" s="233">
        <f t="shared" si="150"/>
        <v>0</v>
      </c>
      <c r="O413" s="234">
        <f t="shared" si="151"/>
        <v>0</v>
      </c>
      <c r="P413" s="234">
        <f t="shared" si="152"/>
        <v>0</v>
      </c>
      <c r="Q413" s="1341">
        <v>0</v>
      </c>
    </row>
    <row r="414" spans="1:18" hidden="1" outlineLevel="1">
      <c r="A414" s="190" t="s">
        <v>817</v>
      </c>
      <c r="B414" s="1316" t="s">
        <v>409</v>
      </c>
      <c r="C414" s="1316" t="s">
        <v>594</v>
      </c>
      <c r="D414" s="1317" t="s">
        <v>432</v>
      </c>
      <c r="E414" s="1318">
        <v>1</v>
      </c>
      <c r="F414" s="1319" t="s">
        <v>443</v>
      </c>
      <c r="G414" s="1315">
        <v>2826</v>
      </c>
      <c r="H414" s="238">
        <f t="shared" si="148"/>
        <v>1.9439999999999999E-2</v>
      </c>
      <c r="I414" s="1333">
        <v>1.9439999999999999E-2</v>
      </c>
      <c r="J414" s="1333"/>
      <c r="K414" s="1334"/>
      <c r="L414" s="1318">
        <v>1</v>
      </c>
      <c r="M414" s="233">
        <f t="shared" si="149"/>
        <v>54.937439999999995</v>
      </c>
      <c r="N414" s="233">
        <f t="shared" si="150"/>
        <v>54.937439999999995</v>
      </c>
      <c r="O414" s="234">
        <f t="shared" si="151"/>
        <v>0</v>
      </c>
      <c r="P414" s="234">
        <f t="shared" si="152"/>
        <v>0</v>
      </c>
      <c r="Q414" s="1341">
        <v>0</v>
      </c>
    </row>
    <row r="415" spans="1:18" hidden="1" outlineLevel="1">
      <c r="A415" s="191" t="s">
        <v>817</v>
      </c>
      <c r="B415" s="1320" t="s">
        <v>409</v>
      </c>
      <c r="C415" s="1320" t="s">
        <v>594</v>
      </c>
      <c r="D415" s="1321" t="s">
        <v>432</v>
      </c>
      <c r="E415" s="1322">
        <v>1</v>
      </c>
      <c r="F415" s="1324" t="s">
        <v>444</v>
      </c>
      <c r="G415" s="1323">
        <v>12014</v>
      </c>
      <c r="H415" s="239">
        <f t="shared" si="148"/>
        <v>2.232E-3</v>
      </c>
      <c r="I415" s="1335">
        <v>2.232E-3</v>
      </c>
      <c r="J415" s="1335"/>
      <c r="K415" s="1336"/>
      <c r="L415" s="1322">
        <v>1</v>
      </c>
      <c r="M415" s="227">
        <f t="shared" si="149"/>
        <v>26.815248</v>
      </c>
      <c r="N415" s="227">
        <f t="shared" si="150"/>
        <v>26.815248</v>
      </c>
      <c r="O415" s="228">
        <f t="shared" si="151"/>
        <v>0</v>
      </c>
      <c r="P415" s="228">
        <f t="shared" si="152"/>
        <v>0</v>
      </c>
      <c r="Q415" s="1342">
        <v>0</v>
      </c>
      <c r="R415" s="512">
        <f>SUM(M376:M415)</f>
        <v>7595.467822614999</v>
      </c>
    </row>
    <row r="416" spans="1:18" hidden="1" outlineLevel="1">
      <c r="A416" s="190" t="s">
        <v>817</v>
      </c>
      <c r="B416" s="1316" t="s">
        <v>434</v>
      </c>
      <c r="C416" s="1316" t="s">
        <v>435</v>
      </c>
      <c r="D416" s="1317" t="s">
        <v>433</v>
      </c>
      <c r="E416" s="1318">
        <v>1</v>
      </c>
      <c r="F416" s="1317" t="s">
        <v>868</v>
      </c>
      <c r="G416" s="1315">
        <v>1435</v>
      </c>
      <c r="H416" s="238">
        <f t="shared" si="118"/>
        <v>7.2592000000000004E-2</v>
      </c>
      <c r="I416" s="1333">
        <v>7.2592000000000004E-2</v>
      </c>
      <c r="J416" s="1333"/>
      <c r="K416" s="1334"/>
      <c r="L416" s="1318">
        <v>1</v>
      </c>
      <c r="M416" s="233">
        <f t="shared" si="111"/>
        <v>104.16952000000001</v>
      </c>
      <c r="N416" s="233">
        <f t="shared" si="88"/>
        <v>104.16952000000001</v>
      </c>
      <c r="O416" s="234">
        <f t="shared" si="89"/>
        <v>0</v>
      </c>
      <c r="P416" s="234">
        <f t="shared" si="112"/>
        <v>0</v>
      </c>
      <c r="Q416" s="1341">
        <v>0</v>
      </c>
    </row>
    <row r="417" spans="1:17" hidden="1" outlineLevel="1">
      <c r="A417" s="190" t="s">
        <v>817</v>
      </c>
      <c r="B417" s="1316" t="s">
        <v>434</v>
      </c>
      <c r="C417" s="1316" t="s">
        <v>435</v>
      </c>
      <c r="D417" s="1317" t="s">
        <v>433</v>
      </c>
      <c r="E417" s="1318">
        <v>1</v>
      </c>
      <c r="F417" s="1319" t="s">
        <v>441</v>
      </c>
      <c r="G417" s="1315">
        <v>552.89</v>
      </c>
      <c r="H417" s="238">
        <f t="shared" si="118"/>
        <v>8.3760000000000001E-2</v>
      </c>
      <c r="I417" s="1333">
        <v>8.3760000000000001E-2</v>
      </c>
      <c r="J417" s="1333"/>
      <c r="K417" s="1334"/>
      <c r="L417" s="1318">
        <v>1</v>
      </c>
      <c r="M417" s="233">
        <f t="shared" ref="M417" si="158">SUM(N417:P417)-Q417</f>
        <v>46.310066399999997</v>
      </c>
      <c r="N417" s="233">
        <f t="shared" ref="N417" si="159">E417*G417*I417*L417</f>
        <v>46.310066399999997</v>
      </c>
      <c r="O417" s="234">
        <f t="shared" ref="O417" si="160">E417*G417*J417*L417*10</f>
        <v>0</v>
      </c>
      <c r="P417" s="234">
        <f t="shared" ref="P417" si="161">E417*G417*K417*L417*15</f>
        <v>0</v>
      </c>
      <c r="Q417" s="1341">
        <v>0</v>
      </c>
    </row>
    <row r="418" spans="1:17" hidden="1" outlineLevel="1">
      <c r="A418" s="190" t="s">
        <v>817</v>
      </c>
      <c r="B418" s="1316" t="s">
        <v>434</v>
      </c>
      <c r="C418" s="1316" t="s">
        <v>435</v>
      </c>
      <c r="D418" s="1317" t="s">
        <v>433</v>
      </c>
      <c r="E418" s="1318">
        <v>1</v>
      </c>
      <c r="F418" s="1319" t="s">
        <v>442</v>
      </c>
      <c r="G418" s="1315">
        <v>4582</v>
      </c>
      <c r="H418" s="238">
        <f t="shared" si="118"/>
        <v>8.3760000000000015E-3</v>
      </c>
      <c r="I418" s="1333">
        <v>5.5840000000000004E-3</v>
      </c>
      <c r="J418" s="1333">
        <v>2.7920000000000002E-3</v>
      </c>
      <c r="K418" s="1334"/>
      <c r="L418" s="1318">
        <v>1</v>
      </c>
      <c r="M418" s="233">
        <f t="shared" si="111"/>
        <v>153.51532800000001</v>
      </c>
      <c r="N418" s="233">
        <f t="shared" si="88"/>
        <v>25.585888000000001</v>
      </c>
      <c r="O418" s="234">
        <f t="shared" si="89"/>
        <v>127.92944</v>
      </c>
      <c r="P418" s="234">
        <f t="shared" si="112"/>
        <v>0</v>
      </c>
      <c r="Q418" s="1341">
        <v>0</v>
      </c>
    </row>
    <row r="419" spans="1:17" hidden="1" outlineLevel="1">
      <c r="A419" s="190" t="s">
        <v>817</v>
      </c>
      <c r="B419" s="1316" t="s">
        <v>434</v>
      </c>
      <c r="C419" s="1316" t="s">
        <v>435</v>
      </c>
      <c r="D419" s="1317" t="s">
        <v>433</v>
      </c>
      <c r="E419" s="1318">
        <v>1</v>
      </c>
      <c r="F419" s="1319" t="s">
        <v>443</v>
      </c>
      <c r="G419" s="1315">
        <v>2826</v>
      </c>
      <c r="H419" s="238">
        <f t="shared" si="118"/>
        <v>0.37412800000000002</v>
      </c>
      <c r="I419" s="1333">
        <v>0.33504</v>
      </c>
      <c r="J419" s="1333">
        <v>3.9087999999999998E-2</v>
      </c>
      <c r="K419" s="1334"/>
      <c r="L419" s="1318">
        <v>1</v>
      </c>
      <c r="M419" s="233">
        <f t="shared" si="111"/>
        <v>2051.44992</v>
      </c>
      <c r="N419" s="233">
        <f t="shared" si="88"/>
        <v>946.82303999999999</v>
      </c>
      <c r="O419" s="234">
        <f t="shared" si="89"/>
        <v>1104.62688</v>
      </c>
      <c r="P419" s="234">
        <f t="shared" si="112"/>
        <v>0</v>
      </c>
      <c r="Q419" s="1341">
        <v>0</v>
      </c>
    </row>
    <row r="420" spans="1:17" hidden="1" outlineLevel="1">
      <c r="A420" s="190" t="s">
        <v>817</v>
      </c>
      <c r="B420" s="1316" t="s">
        <v>434</v>
      </c>
      <c r="C420" s="1316" t="s">
        <v>435</v>
      </c>
      <c r="D420" s="1317" t="s">
        <v>433</v>
      </c>
      <c r="E420" s="1318">
        <v>1</v>
      </c>
      <c r="F420" s="1319" t="s">
        <v>444</v>
      </c>
      <c r="G420" s="1315">
        <v>12014</v>
      </c>
      <c r="H420" s="238">
        <f t="shared" si="118"/>
        <v>4.4672000000000003E-2</v>
      </c>
      <c r="I420" s="1333">
        <v>1.1168000000000001E-2</v>
      </c>
      <c r="J420" s="1333">
        <v>3.3503999999999999E-2</v>
      </c>
      <c r="K420" s="1334"/>
      <c r="L420" s="1318">
        <v>1</v>
      </c>
      <c r="M420" s="233">
        <f t="shared" si="111"/>
        <v>4159.3429119999992</v>
      </c>
      <c r="N420" s="233">
        <f t="shared" si="88"/>
        <v>134.17235200000002</v>
      </c>
      <c r="O420" s="234">
        <f t="shared" si="89"/>
        <v>4025.1705599999996</v>
      </c>
      <c r="P420" s="234">
        <f t="shared" si="112"/>
        <v>0</v>
      </c>
      <c r="Q420" s="1341">
        <v>0</v>
      </c>
    </row>
    <row r="421" spans="1:17" hidden="1" outlineLevel="1">
      <c r="A421" s="190" t="s">
        <v>817</v>
      </c>
      <c r="B421" s="1320" t="s">
        <v>434</v>
      </c>
      <c r="C421" s="1320" t="s">
        <v>435</v>
      </c>
      <c r="D421" s="1321" t="s">
        <v>433</v>
      </c>
      <c r="E421" s="1322">
        <v>1</v>
      </c>
      <c r="F421" s="1324" t="s">
        <v>445</v>
      </c>
      <c r="G421" s="1323">
        <v>24326</v>
      </c>
      <c r="H421" s="239">
        <f t="shared" si="118"/>
        <v>0</v>
      </c>
      <c r="I421" s="1335"/>
      <c r="J421" s="1335"/>
      <c r="K421" s="1336"/>
      <c r="L421" s="1322">
        <v>1</v>
      </c>
      <c r="M421" s="227">
        <f t="shared" ref="M421:M426" si="162">SUM(N421:P421)-Q421</f>
        <v>0</v>
      </c>
      <c r="N421" s="227">
        <f t="shared" ref="N421:N426" si="163">E421*G421*I421*L421</f>
        <v>0</v>
      </c>
      <c r="O421" s="228">
        <f t="shared" ref="O421:O426" si="164">E421*G421*J421*L421*10</f>
        <v>0</v>
      </c>
      <c r="P421" s="228">
        <f t="shared" ref="P421:P426" si="165">E421*G421*K421*L421*15</f>
        <v>0</v>
      </c>
      <c r="Q421" s="1342">
        <v>0</v>
      </c>
    </row>
    <row r="422" spans="1:17" hidden="1" outlineLevel="1">
      <c r="A422" s="190" t="s">
        <v>817</v>
      </c>
      <c r="B422" s="1320" t="s">
        <v>869</v>
      </c>
      <c r="C422" s="1320" t="s">
        <v>870</v>
      </c>
      <c r="D422" s="1321" t="s">
        <v>433</v>
      </c>
      <c r="E422" s="1322">
        <v>1</v>
      </c>
      <c r="F422" s="1324" t="s">
        <v>442</v>
      </c>
      <c r="G422" s="1323">
        <v>5052</v>
      </c>
      <c r="H422" s="239">
        <f t="shared" ref="H422:H423" si="166">SUM(I422:K422)</f>
        <v>0</v>
      </c>
      <c r="I422" s="1482"/>
      <c r="J422" s="1482"/>
      <c r="K422" s="1482"/>
      <c r="L422" s="1322">
        <v>0.5</v>
      </c>
      <c r="M422" s="520">
        <f t="shared" si="162"/>
        <v>0</v>
      </c>
      <c r="N422" s="521">
        <v>0</v>
      </c>
      <c r="O422" s="522">
        <f t="shared" ref="O422:O425" si="167">E422*G422*J422</f>
        <v>0</v>
      </c>
      <c r="P422" s="522"/>
      <c r="Q422" s="1342">
        <v>0</v>
      </c>
    </row>
    <row r="423" spans="1:17" hidden="1" outlineLevel="1">
      <c r="A423" s="190" t="s">
        <v>817</v>
      </c>
      <c r="B423" s="1320" t="s">
        <v>1301</v>
      </c>
      <c r="C423" s="1320" t="s">
        <v>867</v>
      </c>
      <c r="D423" s="1321" t="s">
        <v>433</v>
      </c>
      <c r="E423" s="1322">
        <v>1.5</v>
      </c>
      <c r="F423" s="1324" t="s">
        <v>441</v>
      </c>
      <c r="G423" s="1323">
        <v>609.55999999999995</v>
      </c>
      <c r="H423" s="239">
        <f t="shared" si="166"/>
        <v>0</v>
      </c>
      <c r="I423" s="1482"/>
      <c r="J423" s="1482"/>
      <c r="K423" s="1482"/>
      <c r="L423" s="1322">
        <v>0.5</v>
      </c>
      <c r="M423" s="520">
        <f t="shared" si="162"/>
        <v>0</v>
      </c>
      <c r="N423" s="521">
        <v>0</v>
      </c>
      <c r="O423" s="522">
        <f t="shared" si="167"/>
        <v>0</v>
      </c>
      <c r="P423" s="522"/>
      <c r="Q423" s="1342">
        <v>0</v>
      </c>
    </row>
    <row r="424" spans="1:17" hidden="1" outlineLevel="1">
      <c r="A424" s="190" t="s">
        <v>817</v>
      </c>
      <c r="B424" s="1325" t="s">
        <v>620</v>
      </c>
      <c r="C424" s="1325" t="s">
        <v>621</v>
      </c>
      <c r="D424" s="1321" t="s">
        <v>1260</v>
      </c>
      <c r="E424" s="1327">
        <v>1</v>
      </c>
      <c r="F424" s="1324" t="s">
        <v>441</v>
      </c>
      <c r="G424" s="1323">
        <v>580.53</v>
      </c>
      <c r="H424" s="239">
        <f t="shared" ref="H424:H425" si="168">SUM(I424:K424)</f>
        <v>0</v>
      </c>
      <c r="I424" s="1482"/>
      <c r="J424" s="1338"/>
      <c r="K424" s="1338"/>
      <c r="L424" s="1322">
        <v>0.5</v>
      </c>
      <c r="M424" s="520">
        <f t="shared" si="162"/>
        <v>0</v>
      </c>
      <c r="N424" s="521">
        <v>0</v>
      </c>
      <c r="O424" s="522">
        <f t="shared" si="167"/>
        <v>0</v>
      </c>
      <c r="P424" s="522"/>
      <c r="Q424" s="1342">
        <v>0</v>
      </c>
    </row>
    <row r="425" spans="1:17" hidden="1" outlineLevel="1">
      <c r="A425" s="190" t="s">
        <v>817</v>
      </c>
      <c r="B425" s="1325" t="s">
        <v>622</v>
      </c>
      <c r="C425" s="1325" t="s">
        <v>619</v>
      </c>
      <c r="D425" s="1321" t="s">
        <v>1260</v>
      </c>
      <c r="E425" s="1327">
        <v>1</v>
      </c>
      <c r="F425" s="1324" t="s">
        <v>441</v>
      </c>
      <c r="G425" s="1323">
        <v>580.53</v>
      </c>
      <c r="H425" s="239">
        <f t="shared" si="168"/>
        <v>0</v>
      </c>
      <c r="I425" s="1482"/>
      <c r="J425" s="1338"/>
      <c r="K425" s="1338"/>
      <c r="L425" s="1322">
        <v>0.5</v>
      </c>
      <c r="M425" s="520">
        <f t="shared" si="162"/>
        <v>0</v>
      </c>
      <c r="N425" s="521">
        <v>0</v>
      </c>
      <c r="O425" s="522">
        <f t="shared" si="167"/>
        <v>0</v>
      </c>
      <c r="P425" s="522"/>
      <c r="Q425" s="1342">
        <v>0</v>
      </c>
    </row>
    <row r="426" spans="1:17" hidden="1" outlineLevel="1">
      <c r="A426" s="190" t="s">
        <v>817</v>
      </c>
      <c r="B426" s="1316" t="s">
        <v>436</v>
      </c>
      <c r="C426" s="1316" t="s">
        <v>591</v>
      </c>
      <c r="D426" s="1317" t="s">
        <v>433</v>
      </c>
      <c r="E426" s="1318">
        <v>1</v>
      </c>
      <c r="F426" s="1319" t="s">
        <v>868</v>
      </c>
      <c r="G426" s="1315">
        <v>1435</v>
      </c>
      <c r="H426" s="238">
        <f t="shared" si="118"/>
        <v>0</v>
      </c>
      <c r="I426" s="1333"/>
      <c r="J426" s="1333"/>
      <c r="K426" s="1334"/>
      <c r="L426" s="1318">
        <v>0.5</v>
      </c>
      <c r="M426" s="233">
        <f t="shared" si="162"/>
        <v>0</v>
      </c>
      <c r="N426" s="233">
        <f t="shared" si="163"/>
        <v>0</v>
      </c>
      <c r="O426" s="234">
        <f t="shared" si="164"/>
        <v>0</v>
      </c>
      <c r="P426" s="234">
        <f t="shared" si="165"/>
        <v>0</v>
      </c>
      <c r="Q426" s="1341">
        <v>0</v>
      </c>
    </row>
    <row r="427" spans="1:17" hidden="1" outlineLevel="1">
      <c r="A427" s="190" t="s">
        <v>817</v>
      </c>
      <c r="B427" s="1316" t="s">
        <v>436</v>
      </c>
      <c r="C427" s="1316" t="s">
        <v>591</v>
      </c>
      <c r="D427" s="1317" t="s">
        <v>433</v>
      </c>
      <c r="E427" s="1318">
        <v>1</v>
      </c>
      <c r="F427" s="1317" t="s">
        <v>441</v>
      </c>
      <c r="G427" s="1315">
        <v>552.89</v>
      </c>
      <c r="H427" s="238">
        <f t="shared" si="118"/>
        <v>0</v>
      </c>
      <c r="I427" s="1333"/>
      <c r="J427" s="1333"/>
      <c r="K427" s="1334"/>
      <c r="L427" s="1318">
        <v>0.5</v>
      </c>
      <c r="M427" s="233">
        <f t="shared" si="111"/>
        <v>0</v>
      </c>
      <c r="N427" s="233">
        <f t="shared" si="88"/>
        <v>0</v>
      </c>
      <c r="O427" s="234">
        <f t="shared" si="89"/>
        <v>0</v>
      </c>
      <c r="P427" s="234">
        <f t="shared" si="112"/>
        <v>0</v>
      </c>
      <c r="Q427" s="1341">
        <v>0</v>
      </c>
    </row>
    <row r="428" spans="1:17" hidden="1" outlineLevel="1">
      <c r="A428" s="190" t="s">
        <v>817</v>
      </c>
      <c r="B428" s="1316" t="s">
        <v>436</v>
      </c>
      <c r="C428" s="1316" t="s">
        <v>591</v>
      </c>
      <c r="D428" s="1317" t="s">
        <v>433</v>
      </c>
      <c r="E428" s="1318">
        <v>1</v>
      </c>
      <c r="F428" s="1319" t="s">
        <v>443</v>
      </c>
      <c r="G428" s="1315">
        <v>2826</v>
      </c>
      <c r="H428" s="238">
        <f t="shared" si="118"/>
        <v>0</v>
      </c>
      <c r="I428" s="1333"/>
      <c r="J428" s="1333"/>
      <c r="K428" s="1334"/>
      <c r="L428" s="1318">
        <v>0.5</v>
      </c>
      <c r="M428" s="233">
        <f t="shared" ref="M428" si="169">SUM(N428:P428)-Q428</f>
        <v>0</v>
      </c>
      <c r="N428" s="233">
        <f t="shared" ref="N428" si="170">E428*G428*I428*L428</f>
        <v>0</v>
      </c>
      <c r="O428" s="234">
        <f t="shared" ref="O428" si="171">E428*G428*J428*L428*10</f>
        <v>0</v>
      </c>
      <c r="P428" s="234">
        <f t="shared" ref="P428" si="172">E428*G428*K428*L428*15</f>
        <v>0</v>
      </c>
      <c r="Q428" s="1341">
        <v>0</v>
      </c>
    </row>
    <row r="429" spans="1:17" hidden="1" outlineLevel="1">
      <c r="A429" s="190" t="s">
        <v>817</v>
      </c>
      <c r="B429" s="1320" t="s">
        <v>436</v>
      </c>
      <c r="C429" s="1320" t="s">
        <v>591</v>
      </c>
      <c r="D429" s="1321" t="s">
        <v>433</v>
      </c>
      <c r="E429" s="1322">
        <v>1</v>
      </c>
      <c r="F429" s="1324" t="s">
        <v>444</v>
      </c>
      <c r="G429" s="1323">
        <v>12014</v>
      </c>
      <c r="H429" s="239">
        <f t="shared" si="118"/>
        <v>0</v>
      </c>
      <c r="I429" s="1335"/>
      <c r="J429" s="1335"/>
      <c r="K429" s="1336"/>
      <c r="L429" s="1322">
        <v>0.5</v>
      </c>
      <c r="M429" s="227">
        <f t="shared" si="111"/>
        <v>0</v>
      </c>
      <c r="N429" s="227">
        <f t="shared" si="88"/>
        <v>0</v>
      </c>
      <c r="O429" s="228">
        <f t="shared" si="89"/>
        <v>0</v>
      </c>
      <c r="P429" s="228">
        <f t="shared" si="112"/>
        <v>0</v>
      </c>
      <c r="Q429" s="1342">
        <v>0</v>
      </c>
    </row>
    <row r="430" spans="1:17" hidden="1" outlineLevel="1">
      <c r="A430" s="190" t="s">
        <v>817</v>
      </c>
      <c r="B430" s="1316" t="s">
        <v>437</v>
      </c>
      <c r="C430" s="1316" t="s">
        <v>592</v>
      </c>
      <c r="D430" s="1317" t="s">
        <v>433</v>
      </c>
      <c r="E430" s="1318">
        <v>1</v>
      </c>
      <c r="F430" s="1319" t="s">
        <v>868</v>
      </c>
      <c r="G430" s="1315">
        <v>1435</v>
      </c>
      <c r="H430" s="238">
        <f t="shared" si="118"/>
        <v>2.1700000000000001E-3</v>
      </c>
      <c r="I430" s="1333">
        <v>2.1700000000000001E-3</v>
      </c>
      <c r="J430" s="1333"/>
      <c r="K430" s="1334"/>
      <c r="L430" s="1318">
        <v>0.5</v>
      </c>
      <c r="M430" s="233">
        <f t="shared" ref="M430:M434" si="173">SUM(N430:P430)-Q430</f>
        <v>1.556975</v>
      </c>
      <c r="N430" s="233">
        <f t="shared" ref="N430:N434" si="174">E430*G430*I430*L430</f>
        <v>1.556975</v>
      </c>
      <c r="O430" s="234">
        <f t="shared" ref="O430:O434" si="175">E430*G430*J430*L430*10</f>
        <v>0</v>
      </c>
      <c r="P430" s="234">
        <f t="shared" ref="P430:P434" si="176">E430*G430*K430*L430*15</f>
        <v>0</v>
      </c>
      <c r="Q430" s="1341">
        <v>0</v>
      </c>
    </row>
    <row r="431" spans="1:17" hidden="1" outlineLevel="1">
      <c r="A431" s="190" t="s">
        <v>817</v>
      </c>
      <c r="B431" s="1316" t="s">
        <v>437</v>
      </c>
      <c r="C431" s="1316" t="s">
        <v>592</v>
      </c>
      <c r="D431" s="1317" t="s">
        <v>433</v>
      </c>
      <c r="E431" s="1318">
        <v>1</v>
      </c>
      <c r="F431" s="1319" t="s">
        <v>441</v>
      </c>
      <c r="G431" s="1315">
        <v>552.89</v>
      </c>
      <c r="H431" s="238">
        <f t="shared" ref="H431" si="177">SUM(I431:K431)</f>
        <v>5.5999999999999995E-4</v>
      </c>
      <c r="I431" s="1333">
        <v>5.5999999999999995E-4</v>
      </c>
      <c r="J431" s="1333"/>
      <c r="K431" s="1334"/>
      <c r="L431" s="1318">
        <v>0.5</v>
      </c>
      <c r="M431" s="233">
        <f t="shared" si="173"/>
        <v>0.15480919999999998</v>
      </c>
      <c r="N431" s="233">
        <f t="shared" si="174"/>
        <v>0.15480919999999998</v>
      </c>
      <c r="O431" s="234">
        <f t="shared" si="175"/>
        <v>0</v>
      </c>
      <c r="P431" s="234">
        <f t="shared" si="176"/>
        <v>0</v>
      </c>
      <c r="Q431" s="1341">
        <v>0</v>
      </c>
    </row>
    <row r="432" spans="1:17" hidden="1" outlineLevel="1">
      <c r="A432" s="190" t="s">
        <v>817</v>
      </c>
      <c r="B432" s="1316" t="s">
        <v>437</v>
      </c>
      <c r="C432" s="1316" t="s">
        <v>592</v>
      </c>
      <c r="D432" s="1317" t="s">
        <v>433</v>
      </c>
      <c r="E432" s="1318">
        <v>1</v>
      </c>
      <c r="F432" s="1319" t="s">
        <v>443</v>
      </c>
      <c r="G432" s="1315">
        <v>2826</v>
      </c>
      <c r="H432" s="238">
        <f t="shared" si="118"/>
        <v>6.9999999999999999E-4</v>
      </c>
      <c r="I432" s="1333">
        <v>6.9999999999999999E-4</v>
      </c>
      <c r="J432" s="1333"/>
      <c r="K432" s="1334"/>
      <c r="L432" s="1318">
        <v>0.5</v>
      </c>
      <c r="M432" s="233">
        <f t="shared" si="173"/>
        <v>0.98909999999999998</v>
      </c>
      <c r="N432" s="233">
        <f t="shared" si="174"/>
        <v>0.98909999999999998</v>
      </c>
      <c r="O432" s="234">
        <f t="shared" si="175"/>
        <v>0</v>
      </c>
      <c r="P432" s="234">
        <f t="shared" si="176"/>
        <v>0</v>
      </c>
      <c r="Q432" s="1341">
        <v>0</v>
      </c>
    </row>
    <row r="433" spans="1:17" hidden="1" outlineLevel="1">
      <c r="A433" s="190" t="s">
        <v>817</v>
      </c>
      <c r="B433" s="1320" t="s">
        <v>437</v>
      </c>
      <c r="C433" s="1320" t="s">
        <v>592</v>
      </c>
      <c r="D433" s="1321" t="s">
        <v>433</v>
      </c>
      <c r="E433" s="1322">
        <v>1</v>
      </c>
      <c r="F433" s="1324" t="s">
        <v>444</v>
      </c>
      <c r="G433" s="1323">
        <v>12014</v>
      </c>
      <c r="H433" s="239">
        <f t="shared" si="118"/>
        <v>1.54E-4</v>
      </c>
      <c r="I433" s="1335">
        <v>1.54E-4</v>
      </c>
      <c r="J433" s="1335"/>
      <c r="K433" s="1336"/>
      <c r="L433" s="1322">
        <v>0.5</v>
      </c>
      <c r="M433" s="227">
        <f t="shared" si="173"/>
        <v>0.92507800000000007</v>
      </c>
      <c r="N433" s="227">
        <f t="shared" si="174"/>
        <v>0.92507800000000007</v>
      </c>
      <c r="O433" s="228">
        <f t="shared" si="175"/>
        <v>0</v>
      </c>
      <c r="P433" s="228">
        <f t="shared" si="176"/>
        <v>0</v>
      </c>
      <c r="Q433" s="1342">
        <v>0</v>
      </c>
    </row>
    <row r="434" spans="1:17" hidden="1" outlineLevel="1">
      <c r="A434" s="190" t="s">
        <v>817</v>
      </c>
      <c r="B434" s="1316" t="s">
        <v>438</v>
      </c>
      <c r="C434" s="1316" t="s">
        <v>593</v>
      </c>
      <c r="D434" s="1317" t="s">
        <v>433</v>
      </c>
      <c r="E434" s="1318">
        <v>1</v>
      </c>
      <c r="F434" s="1319" t="s">
        <v>868</v>
      </c>
      <c r="G434" s="1315">
        <v>1435</v>
      </c>
      <c r="H434" s="238">
        <f t="shared" si="118"/>
        <v>1.8315000000000001E-2</v>
      </c>
      <c r="I434" s="1333">
        <v>8.3250000000000008E-3</v>
      </c>
      <c r="J434" s="1333">
        <v>9.9900000000000006E-3</v>
      </c>
      <c r="K434" s="1334"/>
      <c r="L434" s="1318">
        <v>1</v>
      </c>
      <c r="M434" s="233">
        <f t="shared" si="173"/>
        <v>155.302875</v>
      </c>
      <c r="N434" s="233">
        <f t="shared" si="174"/>
        <v>11.946375000000002</v>
      </c>
      <c r="O434" s="234">
        <f t="shared" si="175"/>
        <v>143.35650000000001</v>
      </c>
      <c r="P434" s="234">
        <f t="shared" si="176"/>
        <v>0</v>
      </c>
      <c r="Q434" s="1341">
        <v>0</v>
      </c>
    </row>
    <row r="435" spans="1:17" hidden="1" outlineLevel="1">
      <c r="A435" s="190" t="s">
        <v>817</v>
      </c>
      <c r="B435" s="1316" t="s">
        <v>438</v>
      </c>
      <c r="C435" s="1316" t="s">
        <v>593</v>
      </c>
      <c r="D435" s="1317" t="s">
        <v>433</v>
      </c>
      <c r="E435" s="1318">
        <v>1</v>
      </c>
      <c r="F435" s="1319" t="s">
        <v>441</v>
      </c>
      <c r="G435" s="1315">
        <v>552.89</v>
      </c>
      <c r="H435" s="238">
        <f t="shared" si="118"/>
        <v>1.1655E-2</v>
      </c>
      <c r="I435" s="1333">
        <v>8.3250000000000008E-3</v>
      </c>
      <c r="J435" s="1333">
        <v>3.3300000000000001E-3</v>
      </c>
      <c r="K435" s="1334"/>
      <c r="L435" s="1318">
        <v>1</v>
      </c>
      <c r="M435" s="233">
        <f t="shared" ref="M435:M436" si="178">SUM(N435:P435)-Q435</f>
        <v>23.01404625</v>
      </c>
      <c r="N435" s="233">
        <f t="shared" ref="N435:N436" si="179">E435*G435*I435*L435</f>
        <v>4.60280925</v>
      </c>
      <c r="O435" s="234">
        <f t="shared" ref="O435:O436" si="180">E435*G435*J435*L435*10</f>
        <v>18.411237</v>
      </c>
      <c r="P435" s="234">
        <f t="shared" ref="P435:P436" si="181">E435*G435*K435*L435*15</f>
        <v>0</v>
      </c>
      <c r="Q435" s="1341">
        <v>0</v>
      </c>
    </row>
    <row r="436" spans="1:17" hidden="1" outlineLevel="1">
      <c r="A436" s="190" t="s">
        <v>817</v>
      </c>
      <c r="B436" s="1316" t="s">
        <v>438</v>
      </c>
      <c r="C436" s="1316" t="s">
        <v>593</v>
      </c>
      <c r="D436" s="1317" t="s">
        <v>433</v>
      </c>
      <c r="E436" s="1318">
        <v>1</v>
      </c>
      <c r="F436" s="1319" t="s">
        <v>442</v>
      </c>
      <c r="G436" s="1315">
        <v>4582</v>
      </c>
      <c r="H436" s="238">
        <f t="shared" si="118"/>
        <v>3.3300000000000002E-4</v>
      </c>
      <c r="I436" s="1333">
        <v>3.3300000000000002E-4</v>
      </c>
      <c r="J436" s="1333"/>
      <c r="K436" s="1334"/>
      <c r="L436" s="1318">
        <v>1</v>
      </c>
      <c r="M436" s="233">
        <f t="shared" si="178"/>
        <v>1.525806</v>
      </c>
      <c r="N436" s="233">
        <f t="shared" si="179"/>
        <v>1.525806</v>
      </c>
      <c r="O436" s="234">
        <f t="shared" si="180"/>
        <v>0</v>
      </c>
      <c r="P436" s="234">
        <f t="shared" si="181"/>
        <v>0</v>
      </c>
      <c r="Q436" s="1341">
        <v>0</v>
      </c>
    </row>
    <row r="437" spans="1:17" hidden="1" outlineLevel="1">
      <c r="A437" s="190" t="s">
        <v>817</v>
      </c>
      <c r="B437" s="1316" t="s">
        <v>438</v>
      </c>
      <c r="C437" s="1316" t="s">
        <v>593</v>
      </c>
      <c r="D437" s="1317" t="s">
        <v>433</v>
      </c>
      <c r="E437" s="1318">
        <v>1</v>
      </c>
      <c r="F437" s="1317" t="s">
        <v>443</v>
      </c>
      <c r="G437" s="1315">
        <v>2826</v>
      </c>
      <c r="H437" s="238">
        <f t="shared" si="118"/>
        <v>1.6095000000000002E-2</v>
      </c>
      <c r="I437" s="1333">
        <v>8.3250000000000008E-3</v>
      </c>
      <c r="J437" s="1333">
        <v>7.77E-3</v>
      </c>
      <c r="K437" s="1334"/>
      <c r="L437" s="1318">
        <v>1</v>
      </c>
      <c r="M437" s="233">
        <f t="shared" si="111"/>
        <v>243.10665000000003</v>
      </c>
      <c r="N437" s="233">
        <f t="shared" si="88"/>
        <v>23.526450000000001</v>
      </c>
      <c r="O437" s="234">
        <f t="shared" si="89"/>
        <v>219.58020000000002</v>
      </c>
      <c r="P437" s="234">
        <f t="shared" si="112"/>
        <v>0</v>
      </c>
      <c r="Q437" s="1341">
        <v>0</v>
      </c>
    </row>
    <row r="438" spans="1:17" hidden="1" outlineLevel="1">
      <c r="A438" s="190" t="s">
        <v>817</v>
      </c>
      <c r="B438" s="1316" t="s">
        <v>438</v>
      </c>
      <c r="C438" s="1316" t="s">
        <v>593</v>
      </c>
      <c r="D438" s="1317" t="s">
        <v>433</v>
      </c>
      <c r="E438" s="1318">
        <v>1</v>
      </c>
      <c r="F438" s="1319" t="s">
        <v>444</v>
      </c>
      <c r="G438" s="1315">
        <v>12014</v>
      </c>
      <c r="H438" s="238">
        <f t="shared" si="118"/>
        <v>2.1649999999999998E-3</v>
      </c>
      <c r="I438" s="1333">
        <v>2.7799999999999998E-4</v>
      </c>
      <c r="J438" s="1333">
        <v>1.887E-3</v>
      </c>
      <c r="K438" s="1334"/>
      <c r="L438" s="1318">
        <v>1</v>
      </c>
      <c r="M438" s="233">
        <f t="shared" si="111"/>
        <v>230.044072</v>
      </c>
      <c r="N438" s="233">
        <f t="shared" si="88"/>
        <v>3.3398919999999999</v>
      </c>
      <c r="O438" s="234">
        <f t="shared" si="89"/>
        <v>226.70418000000001</v>
      </c>
      <c r="P438" s="234">
        <f t="shared" si="112"/>
        <v>0</v>
      </c>
      <c r="Q438" s="1341">
        <v>0</v>
      </c>
    </row>
    <row r="439" spans="1:17" hidden="1" outlineLevel="1">
      <c r="A439" s="190" t="s">
        <v>817</v>
      </c>
      <c r="B439" s="1320" t="s">
        <v>438</v>
      </c>
      <c r="C439" s="1320" t="s">
        <v>593</v>
      </c>
      <c r="D439" s="1321" t="s">
        <v>433</v>
      </c>
      <c r="E439" s="1322">
        <v>1</v>
      </c>
      <c r="F439" s="1324" t="s">
        <v>445</v>
      </c>
      <c r="G439" s="1323">
        <v>24326</v>
      </c>
      <c r="H439" s="239">
        <f t="shared" ref="H439:H450" si="182">SUM(I439:K439)</f>
        <v>9.2999999999999997E-5</v>
      </c>
      <c r="I439" s="1335">
        <v>5.5999999999999999E-5</v>
      </c>
      <c r="J439" s="1335">
        <v>3.6999999999999998E-5</v>
      </c>
      <c r="K439" s="1336"/>
      <c r="L439" s="1322">
        <v>1</v>
      </c>
      <c r="M439" s="227">
        <f t="shared" ref="M439:M448" si="183">SUM(N439:P439)-Q439</f>
        <v>10.362876</v>
      </c>
      <c r="N439" s="227">
        <f t="shared" ref="N439:N450" si="184">E439*G439*I439*L439</f>
        <v>1.3622559999999999</v>
      </c>
      <c r="O439" s="228">
        <f t="shared" ref="O439:O450" si="185">E439*G439*J439*L439*10</f>
        <v>9.0006199999999996</v>
      </c>
      <c r="P439" s="228">
        <f t="shared" ref="P439:P450" si="186">E439*G439*K439*L439*15</f>
        <v>0</v>
      </c>
      <c r="Q439" s="1342">
        <v>0</v>
      </c>
    </row>
    <row r="440" spans="1:17" hidden="1" outlineLevel="1">
      <c r="A440" s="190" t="s">
        <v>817</v>
      </c>
      <c r="B440" s="1316" t="s">
        <v>418</v>
      </c>
      <c r="C440" s="1316" t="s">
        <v>439</v>
      </c>
      <c r="D440" s="1317" t="s">
        <v>433</v>
      </c>
      <c r="E440" s="1318">
        <v>1.5</v>
      </c>
      <c r="F440" s="1319" t="s">
        <v>868</v>
      </c>
      <c r="G440" s="1315">
        <v>1435</v>
      </c>
      <c r="H440" s="238">
        <f t="shared" si="182"/>
        <v>2.8216000000000001E-2</v>
      </c>
      <c r="I440" s="1333">
        <v>2.8216000000000001E-2</v>
      </c>
      <c r="J440" s="1333"/>
      <c r="K440" s="1334"/>
      <c r="L440" s="1318">
        <v>0.5</v>
      </c>
      <c r="M440" s="233">
        <f t="shared" si="183"/>
        <v>30.367470000000001</v>
      </c>
      <c r="N440" s="233">
        <f t="shared" si="184"/>
        <v>30.367470000000001</v>
      </c>
      <c r="O440" s="234">
        <f t="shared" si="185"/>
        <v>0</v>
      </c>
      <c r="P440" s="234">
        <f t="shared" si="186"/>
        <v>0</v>
      </c>
      <c r="Q440" s="1341">
        <v>0</v>
      </c>
    </row>
    <row r="441" spans="1:17" hidden="1" outlineLevel="1">
      <c r="A441" s="190" t="s">
        <v>817</v>
      </c>
      <c r="B441" s="1316" t="s">
        <v>418</v>
      </c>
      <c r="C441" s="1316" t="s">
        <v>439</v>
      </c>
      <c r="D441" s="1317" t="s">
        <v>433</v>
      </c>
      <c r="E441" s="1318">
        <v>1.5</v>
      </c>
      <c r="F441" s="1319" t="s">
        <v>441</v>
      </c>
      <c r="G441" s="1315">
        <v>552.89</v>
      </c>
      <c r="H441" s="238">
        <f t="shared" si="182"/>
        <v>3.4317E-2</v>
      </c>
      <c r="I441" s="1333">
        <v>3.4317E-2</v>
      </c>
      <c r="J441" s="1333"/>
      <c r="K441" s="1334"/>
      <c r="L441" s="1318">
        <v>0.5</v>
      </c>
      <c r="M441" s="233">
        <f t="shared" si="183"/>
        <v>14.230144597500001</v>
      </c>
      <c r="N441" s="233">
        <f t="shared" si="184"/>
        <v>14.230144597500001</v>
      </c>
      <c r="O441" s="234">
        <f t="shared" si="185"/>
        <v>0</v>
      </c>
      <c r="P441" s="234">
        <f t="shared" si="186"/>
        <v>0</v>
      </c>
      <c r="Q441" s="1341">
        <v>0</v>
      </c>
    </row>
    <row r="442" spans="1:17" hidden="1" outlineLevel="1">
      <c r="A442" s="190" t="s">
        <v>817</v>
      </c>
      <c r="B442" s="1316" t="s">
        <v>418</v>
      </c>
      <c r="C442" s="1316" t="s">
        <v>439</v>
      </c>
      <c r="D442" s="1317" t="s">
        <v>433</v>
      </c>
      <c r="E442" s="1318">
        <v>1.5</v>
      </c>
      <c r="F442" s="1319" t="s">
        <v>442</v>
      </c>
      <c r="G442" s="1315">
        <v>4582</v>
      </c>
      <c r="H442" s="238">
        <f t="shared" si="182"/>
        <v>0</v>
      </c>
      <c r="I442" s="1333"/>
      <c r="J442" s="1333"/>
      <c r="K442" s="1334"/>
      <c r="L442" s="1318">
        <v>0.5</v>
      </c>
      <c r="M442" s="233">
        <f t="shared" si="183"/>
        <v>0</v>
      </c>
      <c r="N442" s="233">
        <f t="shared" si="184"/>
        <v>0</v>
      </c>
      <c r="O442" s="234">
        <f t="shared" si="185"/>
        <v>0</v>
      </c>
      <c r="P442" s="234">
        <f t="shared" si="186"/>
        <v>0</v>
      </c>
      <c r="Q442" s="1341">
        <v>0</v>
      </c>
    </row>
    <row r="443" spans="1:17" hidden="1" outlineLevel="1">
      <c r="A443" s="190" t="s">
        <v>817</v>
      </c>
      <c r="B443" s="1316" t="s">
        <v>418</v>
      </c>
      <c r="C443" s="1316" t="s">
        <v>439</v>
      </c>
      <c r="D443" s="1317" t="s">
        <v>433</v>
      </c>
      <c r="E443" s="1318">
        <v>1.5</v>
      </c>
      <c r="F443" s="1319" t="s">
        <v>443</v>
      </c>
      <c r="G443" s="1315">
        <v>2826</v>
      </c>
      <c r="H443" s="238">
        <f t="shared" si="182"/>
        <v>7.2446999999999998E-2</v>
      </c>
      <c r="I443" s="1333">
        <v>7.2446999999999998E-2</v>
      </c>
      <c r="J443" s="1333"/>
      <c r="K443" s="1334"/>
      <c r="L443" s="1318">
        <v>0.5</v>
      </c>
      <c r="M443" s="233">
        <f t="shared" si="183"/>
        <v>153.55141649999999</v>
      </c>
      <c r="N443" s="233">
        <f t="shared" si="184"/>
        <v>153.55141649999999</v>
      </c>
      <c r="O443" s="234">
        <f t="shared" si="185"/>
        <v>0</v>
      </c>
      <c r="P443" s="234">
        <f t="shared" si="186"/>
        <v>0</v>
      </c>
      <c r="Q443" s="1341">
        <v>0</v>
      </c>
    </row>
    <row r="444" spans="1:17" hidden="1" outlineLevel="1">
      <c r="A444" s="190" t="s">
        <v>817</v>
      </c>
      <c r="B444" s="1316" t="s">
        <v>418</v>
      </c>
      <c r="C444" s="1316" t="s">
        <v>439</v>
      </c>
      <c r="D444" s="1317" t="s">
        <v>433</v>
      </c>
      <c r="E444" s="1318">
        <v>1.5</v>
      </c>
      <c r="F444" s="1319" t="s">
        <v>444</v>
      </c>
      <c r="G444" s="1315">
        <v>12014</v>
      </c>
      <c r="H444" s="238">
        <f t="shared" si="182"/>
        <v>6.0999999999999997E-4</v>
      </c>
      <c r="I444" s="1333">
        <v>6.0999999999999997E-4</v>
      </c>
      <c r="J444" s="1333"/>
      <c r="K444" s="1334"/>
      <c r="L444" s="1318">
        <v>0.5</v>
      </c>
      <c r="M444" s="233">
        <f t="shared" si="183"/>
        <v>5.4964049999999993</v>
      </c>
      <c r="N444" s="233">
        <f t="shared" si="184"/>
        <v>5.4964049999999993</v>
      </c>
      <c r="O444" s="234">
        <f t="shared" si="185"/>
        <v>0</v>
      </c>
      <c r="P444" s="234">
        <f t="shared" si="186"/>
        <v>0</v>
      </c>
      <c r="Q444" s="1341">
        <v>0</v>
      </c>
    </row>
    <row r="445" spans="1:17" hidden="1" outlineLevel="1">
      <c r="A445" s="190" t="s">
        <v>817</v>
      </c>
      <c r="B445" s="1320" t="s">
        <v>418</v>
      </c>
      <c r="C445" s="1320" t="s">
        <v>439</v>
      </c>
      <c r="D445" s="1321" t="s">
        <v>433</v>
      </c>
      <c r="E445" s="1322">
        <v>1.5</v>
      </c>
      <c r="F445" s="1324" t="s">
        <v>445</v>
      </c>
      <c r="G445" s="1323">
        <v>24326</v>
      </c>
      <c r="H445" s="239">
        <f t="shared" si="182"/>
        <v>0</v>
      </c>
      <c r="I445" s="1335"/>
      <c r="J445" s="1335"/>
      <c r="K445" s="1336"/>
      <c r="L445" s="1322">
        <v>0.5</v>
      </c>
      <c r="M445" s="227">
        <f t="shared" si="183"/>
        <v>0</v>
      </c>
      <c r="N445" s="227">
        <f t="shared" si="184"/>
        <v>0</v>
      </c>
      <c r="O445" s="228">
        <f t="shared" si="185"/>
        <v>0</v>
      </c>
      <c r="P445" s="228">
        <f t="shared" si="186"/>
        <v>0</v>
      </c>
      <c r="Q445" s="1342">
        <v>0</v>
      </c>
    </row>
    <row r="446" spans="1:17" hidden="1" outlineLevel="1">
      <c r="A446" s="190" t="s">
        <v>817</v>
      </c>
      <c r="B446" s="1316" t="s">
        <v>411</v>
      </c>
      <c r="C446" s="1316" t="s">
        <v>440</v>
      </c>
      <c r="D446" s="1317" t="s">
        <v>433</v>
      </c>
      <c r="E446" s="1318">
        <v>1.5</v>
      </c>
      <c r="F446" s="1319" t="s">
        <v>868</v>
      </c>
      <c r="G446" s="1315">
        <v>1435</v>
      </c>
      <c r="H446" s="238">
        <f t="shared" si="182"/>
        <v>8.9639999999999997E-3</v>
      </c>
      <c r="I446" s="1333">
        <v>8.9639999999999997E-3</v>
      </c>
      <c r="J446" s="1333"/>
      <c r="K446" s="1334"/>
      <c r="L446" s="1318">
        <v>0.5</v>
      </c>
      <c r="M446" s="233">
        <f t="shared" si="183"/>
        <v>9.6475049999999989</v>
      </c>
      <c r="N446" s="233">
        <f t="shared" si="184"/>
        <v>9.6475049999999989</v>
      </c>
      <c r="O446" s="234">
        <f t="shared" si="185"/>
        <v>0</v>
      </c>
      <c r="P446" s="234">
        <f t="shared" si="186"/>
        <v>0</v>
      </c>
      <c r="Q446" s="1341">
        <v>0</v>
      </c>
    </row>
    <row r="447" spans="1:17" hidden="1" outlineLevel="1">
      <c r="A447" s="190" t="s">
        <v>817</v>
      </c>
      <c r="B447" s="1316" t="s">
        <v>411</v>
      </c>
      <c r="C447" s="1316" t="s">
        <v>440</v>
      </c>
      <c r="D447" s="1317" t="s">
        <v>433</v>
      </c>
      <c r="E447" s="1318">
        <v>1.5</v>
      </c>
      <c r="F447" s="1317" t="s">
        <v>441</v>
      </c>
      <c r="G447" s="1315">
        <v>552.89</v>
      </c>
      <c r="H447" s="238">
        <f t="shared" si="182"/>
        <v>0</v>
      </c>
      <c r="I447" s="1333"/>
      <c r="J447" s="1333"/>
      <c r="K447" s="1334"/>
      <c r="L447" s="1318">
        <v>0.5</v>
      </c>
      <c r="M447" s="233">
        <f t="shared" si="183"/>
        <v>0</v>
      </c>
      <c r="N447" s="233">
        <f t="shared" si="184"/>
        <v>0</v>
      </c>
      <c r="O447" s="234">
        <f t="shared" si="185"/>
        <v>0</v>
      </c>
      <c r="P447" s="234">
        <f t="shared" si="186"/>
        <v>0</v>
      </c>
      <c r="Q447" s="1341">
        <v>0</v>
      </c>
    </row>
    <row r="448" spans="1:17" hidden="1" outlineLevel="1">
      <c r="A448" s="190" t="s">
        <v>817</v>
      </c>
      <c r="B448" s="1316" t="s">
        <v>411</v>
      </c>
      <c r="C448" s="1316" t="s">
        <v>440</v>
      </c>
      <c r="D448" s="1317" t="s">
        <v>433</v>
      </c>
      <c r="E448" s="1318">
        <v>1.5</v>
      </c>
      <c r="F448" s="1319" t="s">
        <v>442</v>
      </c>
      <c r="G448" s="1315">
        <v>4582</v>
      </c>
      <c r="H448" s="238">
        <f t="shared" si="182"/>
        <v>0</v>
      </c>
      <c r="I448" s="1333"/>
      <c r="J448" s="1333"/>
      <c r="K448" s="1334"/>
      <c r="L448" s="1318">
        <v>0.5</v>
      </c>
      <c r="M448" s="233">
        <f t="shared" si="183"/>
        <v>0</v>
      </c>
      <c r="N448" s="233">
        <f t="shared" si="184"/>
        <v>0</v>
      </c>
      <c r="O448" s="234">
        <f t="shared" si="185"/>
        <v>0</v>
      </c>
      <c r="P448" s="234">
        <f t="shared" si="186"/>
        <v>0</v>
      </c>
      <c r="Q448" s="1341">
        <v>0</v>
      </c>
    </row>
    <row r="449" spans="1:18" hidden="1" outlineLevel="1">
      <c r="A449" s="190" t="s">
        <v>817</v>
      </c>
      <c r="B449" s="1316" t="s">
        <v>411</v>
      </c>
      <c r="C449" s="1316" t="s">
        <v>440</v>
      </c>
      <c r="D449" s="1317" t="s">
        <v>433</v>
      </c>
      <c r="E449" s="1318">
        <v>1.5</v>
      </c>
      <c r="F449" s="1319" t="s">
        <v>443</v>
      </c>
      <c r="G449" s="1315">
        <v>2826</v>
      </c>
      <c r="H449" s="238">
        <f t="shared" si="182"/>
        <v>2.6891999999999999E-2</v>
      </c>
      <c r="I449" s="1333">
        <v>2.6891999999999999E-2</v>
      </c>
      <c r="J449" s="1333"/>
      <c r="K449" s="1334"/>
      <c r="L449" s="1318">
        <v>0.5</v>
      </c>
      <c r="M449" s="233">
        <f t="shared" ref="M449" si="187">SUM(N449:P449)-Q449</f>
        <v>56.997593999999999</v>
      </c>
      <c r="N449" s="233">
        <f t="shared" si="184"/>
        <v>56.997593999999999</v>
      </c>
      <c r="O449" s="234">
        <f t="shared" si="185"/>
        <v>0</v>
      </c>
      <c r="P449" s="234">
        <f t="shared" si="186"/>
        <v>0</v>
      </c>
      <c r="Q449" s="1341">
        <v>0</v>
      </c>
    </row>
    <row r="450" spans="1:18" hidden="1" outlineLevel="1">
      <c r="A450" s="190" t="s">
        <v>817</v>
      </c>
      <c r="B450" s="1320" t="s">
        <v>411</v>
      </c>
      <c r="C450" s="1320" t="s">
        <v>440</v>
      </c>
      <c r="D450" s="1321" t="s">
        <v>433</v>
      </c>
      <c r="E450" s="1322">
        <v>1.5</v>
      </c>
      <c r="F450" s="1324" t="s">
        <v>444</v>
      </c>
      <c r="G450" s="1323">
        <v>12014</v>
      </c>
      <c r="H450" s="239">
        <f t="shared" si="182"/>
        <v>3.9589999999999998E-3</v>
      </c>
      <c r="I450" s="1335">
        <v>3.9589999999999998E-3</v>
      </c>
      <c r="J450" s="1335"/>
      <c r="K450" s="1336"/>
      <c r="L450" s="1322">
        <v>0.5</v>
      </c>
      <c r="M450" s="227">
        <f t="shared" ref="M450" si="188">SUM(N450:P450)-Q450</f>
        <v>35.672569500000002</v>
      </c>
      <c r="N450" s="227">
        <f t="shared" si="184"/>
        <v>35.672569500000002</v>
      </c>
      <c r="O450" s="228">
        <f t="shared" si="185"/>
        <v>0</v>
      </c>
      <c r="P450" s="228">
        <f t="shared" si="186"/>
        <v>0</v>
      </c>
      <c r="Q450" s="1342">
        <v>0</v>
      </c>
    </row>
    <row r="451" spans="1:18" hidden="1" outlineLevel="1">
      <c r="A451" s="190" t="s">
        <v>817</v>
      </c>
      <c r="B451" s="1316" t="s">
        <v>409</v>
      </c>
      <c r="C451" s="1316" t="s">
        <v>594</v>
      </c>
      <c r="D451" s="1317" t="s">
        <v>433</v>
      </c>
      <c r="E451" s="1318">
        <v>1</v>
      </c>
      <c r="F451" s="1319" t="s">
        <v>868</v>
      </c>
      <c r="G451" s="1315">
        <v>1435</v>
      </c>
      <c r="H451" s="238">
        <f t="shared" si="118"/>
        <v>3.8352000000000004E-2</v>
      </c>
      <c r="I451" s="1333">
        <v>3.1960000000000002E-2</v>
      </c>
      <c r="J451" s="1333">
        <v>6.3920000000000001E-3</v>
      </c>
      <c r="K451" s="1334"/>
      <c r="L451" s="1318">
        <v>1</v>
      </c>
      <c r="M451" s="233">
        <f t="shared" si="111"/>
        <v>137.58780000000002</v>
      </c>
      <c r="N451" s="233">
        <f t="shared" si="88"/>
        <v>45.8626</v>
      </c>
      <c r="O451" s="234">
        <f t="shared" si="89"/>
        <v>91.725200000000001</v>
      </c>
      <c r="P451" s="234">
        <f t="shared" si="112"/>
        <v>0</v>
      </c>
      <c r="Q451" s="1341">
        <v>0</v>
      </c>
    </row>
    <row r="452" spans="1:18" hidden="1" outlineLevel="1">
      <c r="A452" s="190" t="s">
        <v>817</v>
      </c>
      <c r="B452" s="1316" t="s">
        <v>409</v>
      </c>
      <c r="C452" s="1316" t="s">
        <v>594</v>
      </c>
      <c r="D452" s="1317" t="s">
        <v>433</v>
      </c>
      <c r="E452" s="1318">
        <v>1</v>
      </c>
      <c r="F452" s="1319" t="s">
        <v>441</v>
      </c>
      <c r="G452" s="1315">
        <v>552.89</v>
      </c>
      <c r="H452" s="238">
        <f t="shared" si="118"/>
        <v>2.6367000000000002E-2</v>
      </c>
      <c r="I452" s="1333">
        <v>2.6367000000000002E-2</v>
      </c>
      <c r="J452" s="1333"/>
      <c r="K452" s="1334"/>
      <c r="L452" s="1318">
        <v>1</v>
      </c>
      <c r="M452" s="233">
        <f t="shared" si="111"/>
        <v>14.57805063</v>
      </c>
      <c r="N452" s="233">
        <f t="shared" si="88"/>
        <v>14.57805063</v>
      </c>
      <c r="O452" s="234">
        <f t="shared" si="89"/>
        <v>0</v>
      </c>
      <c r="P452" s="234">
        <f t="shared" si="112"/>
        <v>0</v>
      </c>
      <c r="Q452" s="1341">
        <v>0</v>
      </c>
    </row>
    <row r="453" spans="1:18" hidden="1" outlineLevel="1">
      <c r="A453" s="190" t="s">
        <v>817</v>
      </c>
      <c r="B453" s="1316" t="s">
        <v>409</v>
      </c>
      <c r="C453" s="1316" t="s">
        <v>594</v>
      </c>
      <c r="D453" s="1317" t="s">
        <v>433</v>
      </c>
      <c r="E453" s="1318">
        <v>1</v>
      </c>
      <c r="F453" s="1319" t="s">
        <v>442</v>
      </c>
      <c r="G453" s="1315">
        <v>4582</v>
      </c>
      <c r="H453" s="238">
        <f t="shared" si="118"/>
        <v>0</v>
      </c>
      <c r="I453" s="1333"/>
      <c r="J453" s="1333"/>
      <c r="K453" s="1334"/>
      <c r="L453" s="1318">
        <v>1</v>
      </c>
      <c r="M453" s="233">
        <f t="shared" ref="M453:M454" si="189">SUM(N453:P453)-Q453</f>
        <v>0</v>
      </c>
      <c r="N453" s="233">
        <f t="shared" ref="N453:N454" si="190">E453*G453*I453*L453</f>
        <v>0</v>
      </c>
      <c r="O453" s="234">
        <f t="shared" ref="O453:O454" si="191">E453*G453*J453*L453*10</f>
        <v>0</v>
      </c>
      <c r="P453" s="234">
        <f t="shared" ref="P453:P454" si="192">E453*G453*K453*L453*15</f>
        <v>0</v>
      </c>
      <c r="Q453" s="1341">
        <v>0</v>
      </c>
    </row>
    <row r="454" spans="1:18" hidden="1" outlineLevel="1">
      <c r="A454" s="270" t="s">
        <v>817</v>
      </c>
      <c r="B454" s="1316" t="s">
        <v>409</v>
      </c>
      <c r="C454" s="1316" t="s">
        <v>594</v>
      </c>
      <c r="D454" s="1317" t="s">
        <v>433</v>
      </c>
      <c r="E454" s="1318">
        <v>1</v>
      </c>
      <c r="F454" s="1319" t="s">
        <v>443</v>
      </c>
      <c r="G454" s="1315">
        <v>2826</v>
      </c>
      <c r="H454" s="238">
        <f t="shared" si="118"/>
        <v>2.1572999999999998E-2</v>
      </c>
      <c r="I454" s="1333">
        <v>2.1572999999999998E-2</v>
      </c>
      <c r="J454" s="1333"/>
      <c r="K454" s="1334"/>
      <c r="L454" s="1318">
        <v>1</v>
      </c>
      <c r="M454" s="233">
        <f t="shared" si="189"/>
        <v>60.965297999999997</v>
      </c>
      <c r="N454" s="233">
        <f t="shared" si="190"/>
        <v>60.965297999999997</v>
      </c>
      <c r="O454" s="234">
        <f t="shared" si="191"/>
        <v>0</v>
      </c>
      <c r="P454" s="234">
        <f t="shared" si="192"/>
        <v>0</v>
      </c>
      <c r="Q454" s="1341">
        <v>0</v>
      </c>
    </row>
    <row r="455" spans="1:18" ht="13.8" hidden="1" outlineLevel="1" thickBot="1">
      <c r="A455" s="191" t="s">
        <v>817</v>
      </c>
      <c r="B455" s="1320" t="s">
        <v>409</v>
      </c>
      <c r="C455" s="1320" t="s">
        <v>594</v>
      </c>
      <c r="D455" s="1321" t="s">
        <v>433</v>
      </c>
      <c r="E455" s="1322">
        <v>1</v>
      </c>
      <c r="F455" s="1321" t="s">
        <v>444</v>
      </c>
      <c r="G455" s="1323">
        <v>12014</v>
      </c>
      <c r="H455" s="239">
        <f t="shared" si="118"/>
        <v>2.477E-3</v>
      </c>
      <c r="I455" s="1335">
        <v>2.477E-3</v>
      </c>
      <c r="J455" s="1335"/>
      <c r="K455" s="1336"/>
      <c r="L455" s="1322">
        <v>1</v>
      </c>
      <c r="M455" s="233">
        <f t="shared" si="111"/>
        <v>29.758678</v>
      </c>
      <c r="N455" s="227">
        <f t="shared" si="88"/>
        <v>29.758678</v>
      </c>
      <c r="O455" s="228">
        <f t="shared" si="89"/>
        <v>0</v>
      </c>
      <c r="P455" s="228">
        <f t="shared" si="112"/>
        <v>0</v>
      </c>
      <c r="Q455" s="1342">
        <v>0</v>
      </c>
      <c r="R455" s="512">
        <f>SUM(M416:M455)</f>
        <v>7730.6229650775003</v>
      </c>
    </row>
    <row r="456" spans="1:18" ht="13.8" collapsed="1" thickBot="1">
      <c r="A456" s="192" t="s">
        <v>1307</v>
      </c>
      <c r="B456" s="193"/>
      <c r="C456" s="193"/>
      <c r="D456" s="193"/>
      <c r="E456" s="194"/>
      <c r="F456" s="195"/>
      <c r="G456" s="194"/>
      <c r="H456" s="240">
        <f>SUM(H294:H455)</f>
        <v>2.6331650000000009</v>
      </c>
      <c r="I456" s="273"/>
      <c r="J456" s="273"/>
      <c r="K456" s="273"/>
      <c r="L456" s="195"/>
      <c r="M456" s="232">
        <f>SUM(M294:M455)</f>
        <v>21168.757709297504</v>
      </c>
      <c r="N456" s="236">
        <f>SUM(N294:N455)</f>
        <v>5164.1537521975006</v>
      </c>
      <c r="O456" s="236">
        <f>SUM(O294:O455)</f>
        <v>16004.603957100004</v>
      </c>
      <c r="P456" s="236">
        <f>SUM(P294:P455)</f>
        <v>0</v>
      </c>
      <c r="Q456" s="236">
        <f>SUM(Q294:Q455)</f>
        <v>0</v>
      </c>
    </row>
    <row r="457" spans="1:18">
      <c r="B457" s="198"/>
      <c r="C457" s="198"/>
      <c r="D457" s="198"/>
      <c r="E457" s="199"/>
      <c r="F457" s="200"/>
      <c r="G457" s="199"/>
      <c r="H457" s="199"/>
      <c r="I457" s="199"/>
      <c r="J457" s="1766" t="s">
        <v>1186</v>
      </c>
      <c r="K457" s="1766"/>
      <c r="L457" s="1766"/>
      <c r="M457" s="1766"/>
      <c r="N457" s="514">
        <f>'2. Kasumiaruanne'!H33</f>
        <v>5164.1999999999989</v>
      </c>
      <c r="O457" s="514">
        <f>'2. Kasumiaruanne'!J33</f>
        <v>16004.6</v>
      </c>
      <c r="P457" s="204"/>
      <c r="Q457" s="204"/>
    </row>
    <row r="458" spans="1:18">
      <c r="A458" s="197"/>
      <c r="B458" s="198"/>
      <c r="C458" s="198"/>
      <c r="D458" s="198"/>
      <c r="E458" s="199"/>
      <c r="F458" s="200"/>
      <c r="G458" s="199"/>
      <c r="H458" s="199"/>
      <c r="I458" s="199"/>
      <c r="J458" s="199"/>
      <c r="K458" s="199"/>
      <c r="L458" s="200"/>
      <c r="M458" s="516" t="s">
        <v>369</v>
      </c>
      <c r="N458" s="517">
        <f>N456-N457</f>
        <v>-4.6247802498328383E-2</v>
      </c>
      <c r="O458" s="517">
        <f>O456-O457</f>
        <v>3.9571000033902237E-3</v>
      </c>
      <c r="P458" s="204"/>
      <c r="Q458" s="204"/>
    </row>
    <row r="459" spans="1:18" ht="13.8" thickBot="1">
      <c r="A459" s="15" t="s">
        <v>811</v>
      </c>
      <c r="B459" s="206"/>
      <c r="C459" s="206"/>
      <c r="D459" s="206"/>
      <c r="E459" s="207"/>
      <c r="F459" s="208"/>
      <c r="G459" s="207"/>
      <c r="H459" s="207"/>
      <c r="I459" s="209"/>
      <c r="J459" s="208"/>
      <c r="K459" s="208"/>
      <c r="L459" s="208"/>
      <c r="M459" s="210"/>
      <c r="N459" s="210"/>
      <c r="O459" s="210"/>
      <c r="P459" s="208"/>
      <c r="Q459" s="208"/>
    </row>
    <row r="460" spans="1:18" hidden="1" outlineLevel="1">
      <c r="A460" s="775" t="s">
        <v>818</v>
      </c>
      <c r="B460" s="1343" t="s">
        <v>408</v>
      </c>
      <c r="C460" s="1330">
        <v>841</v>
      </c>
      <c r="D460" s="1309" t="s">
        <v>427</v>
      </c>
      <c r="E460" s="1344" t="s">
        <v>349</v>
      </c>
      <c r="F460" s="1309" t="s">
        <v>429</v>
      </c>
      <c r="G460" s="1345">
        <v>9.3490000000000004E-2</v>
      </c>
      <c r="H460" s="776">
        <f>SUM(I460:K460)</f>
        <v>201</v>
      </c>
      <c r="I460" s="1353">
        <v>201</v>
      </c>
      <c r="J460" s="1353"/>
      <c r="K460" s="1353"/>
      <c r="L460" s="1344" t="s">
        <v>349</v>
      </c>
      <c r="M460" s="772">
        <f>SUM(N460:P460)</f>
        <v>18.79149</v>
      </c>
      <c r="N460" s="773">
        <f>G460*I460</f>
        <v>18.79149</v>
      </c>
      <c r="O460" s="773">
        <f>G460*J460*5</f>
        <v>0</v>
      </c>
      <c r="P460" s="773">
        <f>G460*K460*5</f>
        <v>0</v>
      </c>
      <c r="Q460" s="777"/>
      <c r="R460" s="774"/>
    </row>
    <row r="461" spans="1:18" hidden="1" outlineLevel="1">
      <c r="A461" s="211" t="s">
        <v>818</v>
      </c>
      <c r="B461" s="1346" t="s">
        <v>409</v>
      </c>
      <c r="C461" s="1332">
        <v>21717</v>
      </c>
      <c r="D461" s="1313" t="s">
        <v>427</v>
      </c>
      <c r="E461" s="1347" t="s">
        <v>349</v>
      </c>
      <c r="F461" s="1313" t="s">
        <v>429</v>
      </c>
      <c r="G461" s="1349">
        <v>9.3490000000000004E-2</v>
      </c>
      <c r="H461" s="222">
        <f t="shared" ref="H461:H556" si="193">SUM(I461:K461)</f>
        <v>870</v>
      </c>
      <c r="I461" s="1354">
        <v>870</v>
      </c>
      <c r="J461" s="1354"/>
      <c r="K461" s="1354"/>
      <c r="L461" s="1347" t="s">
        <v>349</v>
      </c>
      <c r="M461" s="223">
        <f t="shared" ref="M461:M488" si="194">SUM(N461:P461)</f>
        <v>81.336300000000008</v>
      </c>
      <c r="N461" s="224">
        <f t="shared" ref="N461:N556" si="195">G461*I461</f>
        <v>81.336300000000008</v>
      </c>
      <c r="O461" s="224">
        <f t="shared" ref="O461:O556" si="196">G461*J461*5</f>
        <v>0</v>
      </c>
      <c r="P461" s="224">
        <f t="shared" ref="P461:P556" si="197">G461*K461*5</f>
        <v>0</v>
      </c>
      <c r="Q461" s="208"/>
    </row>
    <row r="462" spans="1:18" hidden="1" outlineLevel="1">
      <c r="A462" s="211" t="s">
        <v>818</v>
      </c>
      <c r="B462" s="1346" t="s">
        <v>410</v>
      </c>
      <c r="C462" s="1332">
        <v>749</v>
      </c>
      <c r="D462" s="1313" t="s">
        <v>427</v>
      </c>
      <c r="E462" s="1347" t="s">
        <v>349</v>
      </c>
      <c r="F462" s="1313" t="s">
        <v>430</v>
      </c>
      <c r="G462" s="1349">
        <v>9.9339999999999998E-2</v>
      </c>
      <c r="H462" s="222">
        <f t="shared" si="193"/>
        <v>8536</v>
      </c>
      <c r="I462" s="1354">
        <v>8536</v>
      </c>
      <c r="J462" s="1354"/>
      <c r="K462" s="1354"/>
      <c r="L462" s="1347" t="s">
        <v>349</v>
      </c>
      <c r="M462" s="223">
        <f t="shared" si="194"/>
        <v>847.96623999999997</v>
      </c>
      <c r="N462" s="224">
        <f t="shared" si="195"/>
        <v>847.96623999999997</v>
      </c>
      <c r="O462" s="224">
        <f t="shared" si="196"/>
        <v>0</v>
      </c>
      <c r="P462" s="224">
        <f t="shared" si="197"/>
        <v>0</v>
      </c>
      <c r="Q462" s="208"/>
    </row>
    <row r="463" spans="1:18" hidden="1" outlineLevel="1">
      <c r="A463" s="211" t="s">
        <v>818</v>
      </c>
      <c r="B463" s="1346" t="s">
        <v>411</v>
      </c>
      <c r="C463" s="1332">
        <v>20044</v>
      </c>
      <c r="D463" s="1313" t="s">
        <v>427</v>
      </c>
      <c r="E463" s="1347" t="s">
        <v>349</v>
      </c>
      <c r="F463" s="1313" t="s">
        <v>430</v>
      </c>
      <c r="G463" s="1349">
        <v>9.9339999999999998E-2</v>
      </c>
      <c r="H463" s="222">
        <f t="shared" si="193"/>
        <v>1149</v>
      </c>
      <c r="I463" s="1354">
        <v>1149</v>
      </c>
      <c r="J463" s="1354"/>
      <c r="K463" s="1354"/>
      <c r="L463" s="1347" t="s">
        <v>349</v>
      </c>
      <c r="M463" s="223">
        <f t="shared" ref="M463:M469" si="198">SUM(N463:P463)</f>
        <v>114.14166</v>
      </c>
      <c r="N463" s="224">
        <f t="shared" ref="N463:N469" si="199">G463*I463</f>
        <v>114.14166</v>
      </c>
      <c r="O463" s="224">
        <f t="shared" ref="O463:O469" si="200">G463*J463*5</f>
        <v>0</v>
      </c>
      <c r="P463" s="224">
        <f t="shared" ref="P463:P469" si="201">G463*K463*5</f>
        <v>0</v>
      </c>
      <c r="Q463" s="208"/>
    </row>
    <row r="464" spans="1:18" hidden="1" outlineLevel="1">
      <c r="A464" s="211" t="s">
        <v>818</v>
      </c>
      <c r="B464" s="1346" t="s">
        <v>412</v>
      </c>
      <c r="C464" s="1332">
        <v>15141</v>
      </c>
      <c r="D464" s="1313" t="s">
        <v>427</v>
      </c>
      <c r="E464" s="1347" t="s">
        <v>349</v>
      </c>
      <c r="F464" s="1313" t="s">
        <v>429</v>
      </c>
      <c r="G464" s="1349">
        <v>9.3490000000000004E-2</v>
      </c>
      <c r="H464" s="222">
        <f t="shared" si="193"/>
        <v>9</v>
      </c>
      <c r="I464" s="1354">
        <v>9</v>
      </c>
      <c r="J464" s="1354"/>
      <c r="K464" s="1354"/>
      <c r="L464" s="1347" t="s">
        <v>349</v>
      </c>
      <c r="M464" s="223">
        <f t="shared" si="198"/>
        <v>0.84140999999999999</v>
      </c>
      <c r="N464" s="224">
        <f t="shared" si="199"/>
        <v>0.84140999999999999</v>
      </c>
      <c r="O464" s="224">
        <f t="shared" si="200"/>
        <v>0</v>
      </c>
      <c r="P464" s="224">
        <f t="shared" si="201"/>
        <v>0</v>
      </c>
      <c r="Q464" s="208"/>
    </row>
    <row r="465" spans="1:17" hidden="1" outlineLevel="1">
      <c r="A465" s="211" t="s">
        <v>818</v>
      </c>
      <c r="B465" s="1346" t="s">
        <v>413</v>
      </c>
      <c r="C465" s="1332">
        <v>16904</v>
      </c>
      <c r="D465" s="1313" t="s">
        <v>427</v>
      </c>
      <c r="E465" s="1347" t="s">
        <v>349</v>
      </c>
      <c r="F465" s="1313" t="s">
        <v>430</v>
      </c>
      <c r="G465" s="1349">
        <v>9.9339999999999998E-2</v>
      </c>
      <c r="H465" s="222">
        <f t="shared" si="193"/>
        <v>2103</v>
      </c>
      <c r="I465" s="1354">
        <v>2103</v>
      </c>
      <c r="J465" s="1354"/>
      <c r="K465" s="1354"/>
      <c r="L465" s="1347" t="s">
        <v>349</v>
      </c>
      <c r="M465" s="223">
        <f t="shared" si="198"/>
        <v>208.91201999999998</v>
      </c>
      <c r="N465" s="224">
        <f t="shared" si="199"/>
        <v>208.91201999999998</v>
      </c>
      <c r="O465" s="224">
        <f t="shared" si="200"/>
        <v>0</v>
      </c>
      <c r="P465" s="224">
        <f t="shared" si="201"/>
        <v>0</v>
      </c>
      <c r="Q465" s="208"/>
    </row>
    <row r="466" spans="1:17" hidden="1" outlineLevel="1">
      <c r="A466" s="211" t="s">
        <v>818</v>
      </c>
      <c r="B466" s="1346" t="s">
        <v>595</v>
      </c>
      <c r="C466" s="1332">
        <v>891</v>
      </c>
      <c r="D466" s="1313" t="s">
        <v>427</v>
      </c>
      <c r="E466" s="1347" t="s">
        <v>349</v>
      </c>
      <c r="F466" s="1313" t="s">
        <v>429</v>
      </c>
      <c r="G466" s="1349">
        <v>9.3490000000000004E-2</v>
      </c>
      <c r="H466" s="222">
        <f t="shared" si="193"/>
        <v>1617</v>
      </c>
      <c r="I466" s="1354">
        <v>1617</v>
      </c>
      <c r="J466" s="1354"/>
      <c r="K466" s="1354"/>
      <c r="L466" s="1347" t="s">
        <v>349</v>
      </c>
      <c r="M466" s="223">
        <f t="shared" si="198"/>
        <v>151.17332999999999</v>
      </c>
      <c r="N466" s="224">
        <f t="shared" si="199"/>
        <v>151.17332999999999</v>
      </c>
      <c r="O466" s="224">
        <f t="shared" si="200"/>
        <v>0</v>
      </c>
      <c r="P466" s="224">
        <f t="shared" si="201"/>
        <v>0</v>
      </c>
      <c r="Q466" s="208"/>
    </row>
    <row r="467" spans="1:17" hidden="1" outlineLevel="1">
      <c r="A467" s="211" t="s">
        <v>818</v>
      </c>
      <c r="B467" s="1346" t="s">
        <v>606</v>
      </c>
      <c r="C467" s="1332">
        <v>892</v>
      </c>
      <c r="D467" s="1313" t="s">
        <v>427</v>
      </c>
      <c r="E467" s="1347" t="s">
        <v>349</v>
      </c>
      <c r="F467" s="1313" t="s">
        <v>429</v>
      </c>
      <c r="G467" s="1349">
        <v>9.3490000000000004E-2</v>
      </c>
      <c r="H467" s="222">
        <f t="shared" si="193"/>
        <v>4393</v>
      </c>
      <c r="I467" s="1354">
        <v>4393</v>
      </c>
      <c r="J467" s="1354"/>
      <c r="K467" s="1354"/>
      <c r="L467" s="1347" t="s">
        <v>349</v>
      </c>
      <c r="M467" s="223">
        <f t="shared" si="198"/>
        <v>410.70157</v>
      </c>
      <c r="N467" s="224">
        <f t="shared" si="199"/>
        <v>410.70157</v>
      </c>
      <c r="O467" s="224">
        <f t="shared" si="200"/>
        <v>0</v>
      </c>
      <c r="P467" s="224">
        <f t="shared" si="201"/>
        <v>0</v>
      </c>
      <c r="Q467" s="208"/>
    </row>
    <row r="468" spans="1:17" hidden="1" outlineLevel="1">
      <c r="A468" s="211" t="s">
        <v>818</v>
      </c>
      <c r="B468" s="1346" t="s">
        <v>414</v>
      </c>
      <c r="C468" s="1332">
        <v>16757</v>
      </c>
      <c r="D468" s="1313" t="s">
        <v>427</v>
      </c>
      <c r="E468" s="1347" t="s">
        <v>349</v>
      </c>
      <c r="F468" s="1313" t="s">
        <v>429</v>
      </c>
      <c r="G468" s="1349">
        <v>9.3490000000000004E-2</v>
      </c>
      <c r="H468" s="222">
        <f t="shared" si="193"/>
        <v>1008</v>
      </c>
      <c r="I468" s="1354">
        <v>1008</v>
      </c>
      <c r="J468" s="1354"/>
      <c r="K468" s="1354"/>
      <c r="L468" s="1347" t="s">
        <v>349</v>
      </c>
      <c r="M468" s="223">
        <f t="shared" si="198"/>
        <v>94.237920000000003</v>
      </c>
      <c r="N468" s="224">
        <f t="shared" si="199"/>
        <v>94.237920000000003</v>
      </c>
      <c r="O468" s="224">
        <f t="shared" si="200"/>
        <v>0</v>
      </c>
      <c r="P468" s="224">
        <f t="shared" si="201"/>
        <v>0</v>
      </c>
      <c r="Q468" s="208"/>
    </row>
    <row r="469" spans="1:17" hidden="1" outlineLevel="1">
      <c r="A469" s="211" t="s">
        <v>818</v>
      </c>
      <c r="B469" s="1346" t="s">
        <v>596</v>
      </c>
      <c r="C469" s="1332">
        <v>878</v>
      </c>
      <c r="D469" s="1313" t="s">
        <v>427</v>
      </c>
      <c r="E469" s="1347" t="s">
        <v>349</v>
      </c>
      <c r="F469" s="1313" t="s">
        <v>429</v>
      </c>
      <c r="G469" s="1349">
        <v>9.3490000000000004E-2</v>
      </c>
      <c r="H469" s="222">
        <f t="shared" si="193"/>
        <v>3488</v>
      </c>
      <c r="I469" s="1354">
        <v>3488</v>
      </c>
      <c r="J469" s="1354"/>
      <c r="K469" s="1354"/>
      <c r="L469" s="1347" t="s">
        <v>349</v>
      </c>
      <c r="M469" s="223">
        <f t="shared" si="198"/>
        <v>326.09312</v>
      </c>
      <c r="N469" s="224">
        <f t="shared" si="199"/>
        <v>326.09312</v>
      </c>
      <c r="O469" s="224">
        <f t="shared" si="200"/>
        <v>0</v>
      </c>
      <c r="P469" s="224">
        <f t="shared" si="201"/>
        <v>0</v>
      </c>
      <c r="Q469" s="208"/>
    </row>
    <row r="470" spans="1:17" hidden="1" outlineLevel="1">
      <c r="A470" s="211" t="s">
        <v>818</v>
      </c>
      <c r="B470" s="1346" t="s">
        <v>597</v>
      </c>
      <c r="C470" s="1332">
        <v>879</v>
      </c>
      <c r="D470" s="1313" t="s">
        <v>427</v>
      </c>
      <c r="E470" s="1347" t="s">
        <v>349</v>
      </c>
      <c r="F470" s="1313" t="s">
        <v>429</v>
      </c>
      <c r="G470" s="1349">
        <v>9.3490000000000004E-2</v>
      </c>
      <c r="H470" s="222">
        <f t="shared" si="193"/>
        <v>5056</v>
      </c>
      <c r="I470" s="1354">
        <v>5056</v>
      </c>
      <c r="J470" s="1354"/>
      <c r="K470" s="1354"/>
      <c r="L470" s="1347" t="s">
        <v>349</v>
      </c>
      <c r="M470" s="223">
        <f t="shared" si="194"/>
        <v>472.68544000000003</v>
      </c>
      <c r="N470" s="224">
        <f t="shared" si="195"/>
        <v>472.68544000000003</v>
      </c>
      <c r="O470" s="224">
        <f t="shared" si="196"/>
        <v>0</v>
      </c>
      <c r="P470" s="224">
        <f t="shared" si="197"/>
        <v>0</v>
      </c>
      <c r="Q470" s="208"/>
    </row>
    <row r="471" spans="1:17" hidden="1" outlineLevel="1">
      <c r="A471" s="211" t="s">
        <v>818</v>
      </c>
      <c r="B471" s="1346" t="s">
        <v>598</v>
      </c>
      <c r="C471" s="1332">
        <v>880</v>
      </c>
      <c r="D471" s="1313" t="s">
        <v>427</v>
      </c>
      <c r="E471" s="1347" t="s">
        <v>349</v>
      </c>
      <c r="F471" s="1313" t="s">
        <v>429</v>
      </c>
      <c r="G471" s="1349">
        <v>9.3490000000000004E-2</v>
      </c>
      <c r="H471" s="222">
        <f t="shared" si="193"/>
        <v>2718</v>
      </c>
      <c r="I471" s="1354">
        <v>2718</v>
      </c>
      <c r="J471" s="1354"/>
      <c r="K471" s="1354"/>
      <c r="L471" s="1347" t="s">
        <v>349</v>
      </c>
      <c r="M471" s="223">
        <f t="shared" si="194"/>
        <v>254.10582000000002</v>
      </c>
      <c r="N471" s="224">
        <f t="shared" si="195"/>
        <v>254.10582000000002</v>
      </c>
      <c r="O471" s="224">
        <f t="shared" si="196"/>
        <v>0</v>
      </c>
      <c r="P471" s="224">
        <f t="shared" si="197"/>
        <v>0</v>
      </c>
      <c r="Q471" s="208"/>
    </row>
    <row r="472" spans="1:17" hidden="1" outlineLevel="1">
      <c r="A472" s="211" t="s">
        <v>818</v>
      </c>
      <c r="B472" s="1346" t="s">
        <v>599</v>
      </c>
      <c r="C472" s="1332">
        <v>4650</v>
      </c>
      <c r="D472" s="1313" t="s">
        <v>427</v>
      </c>
      <c r="E472" s="1347" t="s">
        <v>349</v>
      </c>
      <c r="F472" s="1313" t="s">
        <v>429</v>
      </c>
      <c r="G472" s="1349">
        <v>9.3490000000000004E-2</v>
      </c>
      <c r="H472" s="222">
        <f t="shared" si="193"/>
        <v>9055</v>
      </c>
      <c r="I472" s="1354">
        <v>9055</v>
      </c>
      <c r="J472" s="1354"/>
      <c r="K472" s="1354"/>
      <c r="L472" s="1347" t="s">
        <v>349</v>
      </c>
      <c r="M472" s="223">
        <f t="shared" si="194"/>
        <v>846.55195000000003</v>
      </c>
      <c r="N472" s="224">
        <f t="shared" si="195"/>
        <v>846.55195000000003</v>
      </c>
      <c r="O472" s="224">
        <f t="shared" si="196"/>
        <v>0</v>
      </c>
      <c r="P472" s="224">
        <f t="shared" si="197"/>
        <v>0</v>
      </c>
      <c r="Q472" s="208"/>
    </row>
    <row r="473" spans="1:17" hidden="1" outlineLevel="1">
      <c r="A473" s="211" t="s">
        <v>818</v>
      </c>
      <c r="B473" s="1346" t="s">
        <v>1303</v>
      </c>
      <c r="C473" s="1332">
        <v>14114</v>
      </c>
      <c r="D473" s="1313" t="s">
        <v>427</v>
      </c>
      <c r="E473" s="1347" t="s">
        <v>349</v>
      </c>
      <c r="F473" s="1313" t="s">
        <v>430</v>
      </c>
      <c r="G473" s="1349">
        <v>9.9339999999999998E-2</v>
      </c>
      <c r="H473" s="222">
        <f t="shared" si="193"/>
        <v>14212</v>
      </c>
      <c r="I473" s="1354">
        <v>14212</v>
      </c>
      <c r="J473" s="1354"/>
      <c r="K473" s="1354"/>
      <c r="L473" s="1347" t="s">
        <v>349</v>
      </c>
      <c r="M473" s="223">
        <f t="shared" si="194"/>
        <v>1411.82008</v>
      </c>
      <c r="N473" s="224">
        <f t="shared" si="195"/>
        <v>1411.82008</v>
      </c>
      <c r="O473" s="224">
        <f t="shared" si="196"/>
        <v>0</v>
      </c>
      <c r="P473" s="224">
        <f t="shared" si="197"/>
        <v>0</v>
      </c>
      <c r="Q473" s="208"/>
    </row>
    <row r="474" spans="1:17" hidden="1" outlineLevel="1">
      <c r="A474" s="211" t="s">
        <v>818</v>
      </c>
      <c r="B474" s="1346" t="s">
        <v>1303</v>
      </c>
      <c r="C474" s="1332">
        <v>14114</v>
      </c>
      <c r="D474" s="1313" t="s">
        <v>427</v>
      </c>
      <c r="E474" s="1347" t="s">
        <v>349</v>
      </c>
      <c r="F474" s="1313" t="s">
        <v>430</v>
      </c>
      <c r="G474" s="1349">
        <v>0.18054899999999999</v>
      </c>
      <c r="H474" s="222">
        <f t="shared" si="193"/>
        <v>5626</v>
      </c>
      <c r="I474" s="1354">
        <v>5626</v>
      </c>
      <c r="J474" s="1354"/>
      <c r="K474" s="1354"/>
      <c r="L474" s="1347" t="s">
        <v>349</v>
      </c>
      <c r="M474" s="223">
        <f t="shared" si="194"/>
        <v>1015.7686739999999</v>
      </c>
      <c r="N474" s="224">
        <f t="shared" si="195"/>
        <v>1015.7686739999999</v>
      </c>
      <c r="O474" s="224">
        <f t="shared" si="196"/>
        <v>0</v>
      </c>
      <c r="P474" s="224">
        <f t="shared" si="197"/>
        <v>0</v>
      </c>
      <c r="Q474" s="208"/>
    </row>
    <row r="475" spans="1:17" hidden="1" outlineLevel="1">
      <c r="A475" s="211" t="s">
        <v>818</v>
      </c>
      <c r="B475" s="1346" t="s">
        <v>600</v>
      </c>
      <c r="C475" s="1332">
        <v>969</v>
      </c>
      <c r="D475" s="1313" t="s">
        <v>427</v>
      </c>
      <c r="E475" s="1347" t="s">
        <v>349</v>
      </c>
      <c r="F475" s="1313" t="s">
        <v>429</v>
      </c>
      <c r="G475" s="1349">
        <v>9.3490000000000004E-2</v>
      </c>
      <c r="H475" s="222">
        <f t="shared" si="193"/>
        <v>9587</v>
      </c>
      <c r="I475" s="1354">
        <v>9587</v>
      </c>
      <c r="J475" s="1354"/>
      <c r="K475" s="1354"/>
      <c r="L475" s="1347" t="s">
        <v>349</v>
      </c>
      <c r="M475" s="223">
        <f t="shared" si="194"/>
        <v>896.28863000000001</v>
      </c>
      <c r="N475" s="224">
        <f t="shared" si="195"/>
        <v>896.28863000000001</v>
      </c>
      <c r="O475" s="224">
        <f t="shared" si="196"/>
        <v>0</v>
      </c>
      <c r="P475" s="224">
        <f t="shared" si="197"/>
        <v>0</v>
      </c>
      <c r="Q475" s="208"/>
    </row>
    <row r="476" spans="1:17" hidden="1" outlineLevel="1">
      <c r="A476" s="211" t="s">
        <v>818</v>
      </c>
      <c r="B476" s="1346" t="s">
        <v>601</v>
      </c>
      <c r="C476" s="1332">
        <v>1003</v>
      </c>
      <c r="D476" s="1313" t="s">
        <v>427</v>
      </c>
      <c r="E476" s="1347" t="s">
        <v>349</v>
      </c>
      <c r="F476" s="1313" t="s">
        <v>430</v>
      </c>
      <c r="G476" s="1349">
        <v>9.9339999999999998E-2</v>
      </c>
      <c r="H476" s="222">
        <f t="shared" si="193"/>
        <v>4599</v>
      </c>
      <c r="I476" s="1354">
        <v>4599</v>
      </c>
      <c r="J476" s="1354"/>
      <c r="K476" s="1354"/>
      <c r="L476" s="1347" t="s">
        <v>349</v>
      </c>
      <c r="M476" s="223">
        <f t="shared" si="194"/>
        <v>456.86466000000001</v>
      </c>
      <c r="N476" s="224">
        <f t="shared" si="195"/>
        <v>456.86466000000001</v>
      </c>
      <c r="O476" s="224">
        <f t="shared" si="196"/>
        <v>0</v>
      </c>
      <c r="P476" s="224">
        <f t="shared" si="197"/>
        <v>0</v>
      </c>
      <c r="Q476" s="208"/>
    </row>
    <row r="477" spans="1:17" hidden="1" outlineLevel="1">
      <c r="A477" s="211" t="s">
        <v>818</v>
      </c>
      <c r="B477" s="1346" t="s">
        <v>416</v>
      </c>
      <c r="C477" s="1332">
        <v>881</v>
      </c>
      <c r="D477" s="1313" t="s">
        <v>427</v>
      </c>
      <c r="E477" s="1347" t="s">
        <v>349</v>
      </c>
      <c r="F477" s="1313" t="s">
        <v>429</v>
      </c>
      <c r="G477" s="1349">
        <v>9.3490000000000004E-2</v>
      </c>
      <c r="H477" s="222">
        <f t="shared" si="193"/>
        <v>528</v>
      </c>
      <c r="I477" s="1354">
        <v>528</v>
      </c>
      <c r="J477" s="1354"/>
      <c r="K477" s="1354"/>
      <c r="L477" s="1347" t="s">
        <v>349</v>
      </c>
      <c r="M477" s="223">
        <f t="shared" si="194"/>
        <v>49.362720000000003</v>
      </c>
      <c r="N477" s="224">
        <f t="shared" si="195"/>
        <v>49.362720000000003</v>
      </c>
      <c r="O477" s="224">
        <f t="shared" si="196"/>
        <v>0</v>
      </c>
      <c r="P477" s="224">
        <f t="shared" si="197"/>
        <v>0</v>
      </c>
      <c r="Q477" s="208"/>
    </row>
    <row r="478" spans="1:17" hidden="1" outlineLevel="1">
      <c r="A478" s="211" t="s">
        <v>818</v>
      </c>
      <c r="B478" s="1346" t="s">
        <v>417</v>
      </c>
      <c r="C478" s="1332">
        <v>832</v>
      </c>
      <c r="D478" s="1313" t="s">
        <v>427</v>
      </c>
      <c r="E478" s="1347" t="s">
        <v>349</v>
      </c>
      <c r="F478" s="1313" t="s">
        <v>429</v>
      </c>
      <c r="G478" s="1349">
        <v>9.3490000000000004E-2</v>
      </c>
      <c r="H478" s="222">
        <f t="shared" si="193"/>
        <v>249</v>
      </c>
      <c r="I478" s="1354">
        <v>249</v>
      </c>
      <c r="J478" s="1354"/>
      <c r="K478" s="1354"/>
      <c r="L478" s="1347" t="s">
        <v>349</v>
      </c>
      <c r="M478" s="223">
        <f t="shared" si="194"/>
        <v>23.27901</v>
      </c>
      <c r="N478" s="224">
        <f t="shared" si="195"/>
        <v>23.27901</v>
      </c>
      <c r="O478" s="224">
        <f t="shared" si="196"/>
        <v>0</v>
      </c>
      <c r="P478" s="224">
        <f t="shared" si="197"/>
        <v>0</v>
      </c>
      <c r="Q478" s="208"/>
    </row>
    <row r="479" spans="1:17" hidden="1" outlineLevel="1">
      <c r="A479" s="211" t="s">
        <v>818</v>
      </c>
      <c r="B479" s="1346" t="s">
        <v>418</v>
      </c>
      <c r="C479" s="1332">
        <v>1138</v>
      </c>
      <c r="D479" s="1313" t="s">
        <v>427</v>
      </c>
      <c r="E479" s="1347" t="s">
        <v>349</v>
      </c>
      <c r="F479" s="1313" t="s">
        <v>430</v>
      </c>
      <c r="G479" s="1349">
        <v>9.9339999999999998E-2</v>
      </c>
      <c r="H479" s="222">
        <f t="shared" si="193"/>
        <v>4627</v>
      </c>
      <c r="I479" s="1354">
        <v>4627</v>
      </c>
      <c r="J479" s="1354"/>
      <c r="K479" s="1354"/>
      <c r="L479" s="1347" t="s">
        <v>349</v>
      </c>
      <c r="M479" s="223">
        <f t="shared" si="194"/>
        <v>459.64618000000002</v>
      </c>
      <c r="N479" s="224">
        <f t="shared" si="195"/>
        <v>459.64618000000002</v>
      </c>
      <c r="O479" s="224">
        <f t="shared" si="196"/>
        <v>0</v>
      </c>
      <c r="P479" s="224">
        <f t="shared" si="197"/>
        <v>0</v>
      </c>
      <c r="Q479" s="208"/>
    </row>
    <row r="480" spans="1:17" hidden="1" outlineLevel="1">
      <c r="A480" s="211" t="s">
        <v>818</v>
      </c>
      <c r="B480" s="1346" t="s">
        <v>419</v>
      </c>
      <c r="C480" s="1332">
        <v>1010</v>
      </c>
      <c r="D480" s="1313" t="s">
        <v>427</v>
      </c>
      <c r="E480" s="1347" t="s">
        <v>349</v>
      </c>
      <c r="F480" s="1313" t="s">
        <v>430</v>
      </c>
      <c r="G480" s="1349">
        <v>9.9339999999999998E-2</v>
      </c>
      <c r="H480" s="222">
        <f t="shared" si="193"/>
        <v>346</v>
      </c>
      <c r="I480" s="1354">
        <v>346</v>
      </c>
      <c r="J480" s="1354"/>
      <c r="K480" s="1354"/>
      <c r="L480" s="1347" t="s">
        <v>349</v>
      </c>
      <c r="M480" s="223">
        <f t="shared" si="194"/>
        <v>34.371639999999999</v>
      </c>
      <c r="N480" s="224">
        <f t="shared" si="195"/>
        <v>34.371639999999999</v>
      </c>
      <c r="O480" s="224">
        <f t="shared" si="196"/>
        <v>0</v>
      </c>
      <c r="P480" s="224">
        <f t="shared" si="197"/>
        <v>0</v>
      </c>
      <c r="Q480" s="208"/>
    </row>
    <row r="481" spans="1:18" hidden="1" outlineLevel="1">
      <c r="A481" s="211" t="s">
        <v>818</v>
      </c>
      <c r="B481" s="1346" t="s">
        <v>420</v>
      </c>
      <c r="C481" s="1332">
        <v>16476</v>
      </c>
      <c r="D481" s="1313" t="s">
        <v>427</v>
      </c>
      <c r="E481" s="1347" t="s">
        <v>349</v>
      </c>
      <c r="F481" s="1313" t="s">
        <v>430</v>
      </c>
      <c r="G481" s="1349">
        <v>9.9339999999999998E-2</v>
      </c>
      <c r="H481" s="222">
        <f t="shared" si="193"/>
        <v>568</v>
      </c>
      <c r="I481" s="1354">
        <v>568</v>
      </c>
      <c r="J481" s="1354"/>
      <c r="K481" s="1354"/>
      <c r="L481" s="1347" t="s">
        <v>349</v>
      </c>
      <c r="M481" s="223">
        <f t="shared" si="194"/>
        <v>56.42512</v>
      </c>
      <c r="N481" s="224">
        <f t="shared" si="195"/>
        <v>56.42512</v>
      </c>
      <c r="O481" s="224">
        <f t="shared" si="196"/>
        <v>0</v>
      </c>
      <c r="P481" s="224">
        <f t="shared" si="197"/>
        <v>0</v>
      </c>
      <c r="Q481" s="208"/>
    </row>
    <row r="482" spans="1:18" hidden="1" outlineLevel="1">
      <c r="A482" s="211" t="s">
        <v>818</v>
      </c>
      <c r="B482" s="1346" t="s">
        <v>602</v>
      </c>
      <c r="C482" s="1332">
        <v>965</v>
      </c>
      <c r="D482" s="1313" t="s">
        <v>427</v>
      </c>
      <c r="E482" s="1347" t="s">
        <v>349</v>
      </c>
      <c r="F482" s="1313" t="s">
        <v>429</v>
      </c>
      <c r="G482" s="1349">
        <v>9.3490000000000004E-2</v>
      </c>
      <c r="H482" s="222">
        <f t="shared" si="193"/>
        <v>1743</v>
      </c>
      <c r="I482" s="1354">
        <v>1743</v>
      </c>
      <c r="J482" s="1354"/>
      <c r="K482" s="1354"/>
      <c r="L482" s="1347" t="s">
        <v>349</v>
      </c>
      <c r="M482" s="223">
        <f t="shared" si="194"/>
        <v>162.95307</v>
      </c>
      <c r="N482" s="224">
        <f t="shared" si="195"/>
        <v>162.95307</v>
      </c>
      <c r="O482" s="224">
        <f t="shared" si="196"/>
        <v>0</v>
      </c>
      <c r="P482" s="224">
        <f t="shared" si="197"/>
        <v>0</v>
      </c>
      <c r="Q482" s="208"/>
    </row>
    <row r="483" spans="1:18" hidden="1" outlineLevel="1">
      <c r="A483" s="211" t="s">
        <v>818</v>
      </c>
      <c r="B483" s="1346" t="s">
        <v>603</v>
      </c>
      <c r="C483" s="1332">
        <v>968</v>
      </c>
      <c r="D483" s="1313" t="s">
        <v>427</v>
      </c>
      <c r="E483" s="1347" t="s">
        <v>349</v>
      </c>
      <c r="F483" s="1313" t="s">
        <v>429</v>
      </c>
      <c r="G483" s="1349">
        <v>9.3490000000000004E-2</v>
      </c>
      <c r="H483" s="222">
        <f t="shared" si="193"/>
        <v>2301</v>
      </c>
      <c r="I483" s="1354">
        <v>2301</v>
      </c>
      <c r="J483" s="1354"/>
      <c r="K483" s="1354"/>
      <c r="L483" s="1347" t="s">
        <v>349</v>
      </c>
      <c r="M483" s="223">
        <f t="shared" si="194"/>
        <v>215.12049000000002</v>
      </c>
      <c r="N483" s="224">
        <f t="shared" si="195"/>
        <v>215.12049000000002</v>
      </c>
      <c r="O483" s="224">
        <f t="shared" si="196"/>
        <v>0</v>
      </c>
      <c r="P483" s="224">
        <f t="shared" si="197"/>
        <v>0</v>
      </c>
      <c r="Q483" s="208"/>
    </row>
    <row r="484" spans="1:18" hidden="1" outlineLevel="1">
      <c r="A484" s="211" t="s">
        <v>818</v>
      </c>
      <c r="B484" s="1346" t="s">
        <v>421</v>
      </c>
      <c r="C484" s="1332">
        <v>964</v>
      </c>
      <c r="D484" s="1313" t="s">
        <v>427</v>
      </c>
      <c r="E484" s="1347" t="s">
        <v>349</v>
      </c>
      <c r="F484" s="1313" t="s">
        <v>429</v>
      </c>
      <c r="G484" s="1349">
        <v>9.3490000000000004E-2</v>
      </c>
      <c r="H484" s="222">
        <f t="shared" si="193"/>
        <v>80</v>
      </c>
      <c r="I484" s="1354">
        <v>80</v>
      </c>
      <c r="J484" s="1354"/>
      <c r="K484" s="1354"/>
      <c r="L484" s="1347" t="s">
        <v>349</v>
      </c>
      <c r="M484" s="223">
        <f t="shared" si="194"/>
        <v>7.4792000000000005</v>
      </c>
      <c r="N484" s="224">
        <f t="shared" si="195"/>
        <v>7.4792000000000005</v>
      </c>
      <c r="O484" s="224">
        <f t="shared" si="196"/>
        <v>0</v>
      </c>
      <c r="P484" s="224">
        <f t="shared" si="197"/>
        <v>0</v>
      </c>
      <c r="Q484" s="208"/>
    </row>
    <row r="485" spans="1:18" hidden="1" outlineLevel="1">
      <c r="A485" s="211" t="s">
        <v>818</v>
      </c>
      <c r="B485" s="1346" t="s">
        <v>422</v>
      </c>
      <c r="C485" s="1332">
        <v>16477</v>
      </c>
      <c r="D485" s="1313" t="s">
        <v>427</v>
      </c>
      <c r="E485" s="1347" t="s">
        <v>349</v>
      </c>
      <c r="F485" s="1313" t="s">
        <v>430</v>
      </c>
      <c r="G485" s="1349">
        <v>9.9339999999999998E-2</v>
      </c>
      <c r="H485" s="222">
        <f t="shared" si="193"/>
        <v>46</v>
      </c>
      <c r="I485" s="1354">
        <v>46</v>
      </c>
      <c r="J485" s="1354"/>
      <c r="K485" s="1354"/>
      <c r="L485" s="1347" t="s">
        <v>349</v>
      </c>
      <c r="M485" s="223">
        <f t="shared" si="194"/>
        <v>4.5696399999999997</v>
      </c>
      <c r="N485" s="224">
        <f t="shared" si="195"/>
        <v>4.5696399999999997</v>
      </c>
      <c r="O485" s="224">
        <f t="shared" si="196"/>
        <v>0</v>
      </c>
      <c r="P485" s="224">
        <f t="shared" si="197"/>
        <v>0</v>
      </c>
      <c r="Q485" s="208"/>
    </row>
    <row r="486" spans="1:18" hidden="1" outlineLevel="1">
      <c r="A486" s="211" t="s">
        <v>818</v>
      </c>
      <c r="B486" s="1346" t="s">
        <v>423</v>
      </c>
      <c r="C486" s="1332">
        <v>703</v>
      </c>
      <c r="D486" s="1313" t="s">
        <v>427</v>
      </c>
      <c r="E486" s="1347" t="s">
        <v>349</v>
      </c>
      <c r="F486" s="1313" t="s">
        <v>430</v>
      </c>
      <c r="G486" s="1349">
        <v>9.9339999999999998E-2</v>
      </c>
      <c r="H486" s="222">
        <f t="shared" si="193"/>
        <v>1591</v>
      </c>
      <c r="I486" s="1354">
        <v>1550</v>
      </c>
      <c r="J486" s="1354">
        <v>41</v>
      </c>
      <c r="K486" s="1354"/>
      <c r="L486" s="1347" t="s">
        <v>349</v>
      </c>
      <c r="M486" s="223">
        <f t="shared" si="194"/>
        <v>174.3417</v>
      </c>
      <c r="N486" s="224">
        <f t="shared" si="195"/>
        <v>153.977</v>
      </c>
      <c r="O486" s="224">
        <f t="shared" si="196"/>
        <v>20.364699999999999</v>
      </c>
      <c r="P486" s="224">
        <f t="shared" si="197"/>
        <v>0</v>
      </c>
      <c r="Q486" s="208"/>
    </row>
    <row r="487" spans="1:18" hidden="1" outlineLevel="1">
      <c r="A487" s="211" t="s">
        <v>818</v>
      </c>
      <c r="B487" s="1346" t="s">
        <v>604</v>
      </c>
      <c r="C487" s="1332">
        <v>707</v>
      </c>
      <c r="D487" s="1313" t="s">
        <v>427</v>
      </c>
      <c r="E487" s="1347" t="s">
        <v>349</v>
      </c>
      <c r="F487" s="1313" t="s">
        <v>430</v>
      </c>
      <c r="G487" s="1349">
        <v>9.9339999999999998E-2</v>
      </c>
      <c r="H487" s="222">
        <f t="shared" si="193"/>
        <v>4930</v>
      </c>
      <c r="I487" s="1354">
        <v>4000</v>
      </c>
      <c r="J487" s="1354">
        <v>930</v>
      </c>
      <c r="K487" s="1354"/>
      <c r="L487" s="1347" t="s">
        <v>349</v>
      </c>
      <c r="M487" s="223">
        <f t="shared" ref="M487" si="202">SUM(N487:P487)</f>
        <v>859.29100000000005</v>
      </c>
      <c r="N487" s="224">
        <f t="shared" ref="N487" si="203">G487*I487</f>
        <v>397.36</v>
      </c>
      <c r="O487" s="224">
        <f t="shared" ref="O487" si="204">G487*J487*5</f>
        <v>461.93100000000004</v>
      </c>
      <c r="P487" s="224">
        <f t="shared" ref="P487" si="205">G487*K487*5</f>
        <v>0</v>
      </c>
      <c r="Q487" s="208"/>
    </row>
    <row r="488" spans="1:18" hidden="1" outlineLevel="1">
      <c r="A488" s="225" t="s">
        <v>818</v>
      </c>
      <c r="B488" s="1350" t="s">
        <v>466</v>
      </c>
      <c r="C488" s="1336">
        <v>15025</v>
      </c>
      <c r="D488" s="1321" t="s">
        <v>427</v>
      </c>
      <c r="E488" s="1351" t="s">
        <v>349</v>
      </c>
      <c r="F488" s="1321" t="s">
        <v>430</v>
      </c>
      <c r="G488" s="1352">
        <v>9.9339999999999998E-2</v>
      </c>
      <c r="H488" s="226">
        <f t="shared" si="193"/>
        <v>1081</v>
      </c>
      <c r="I488" s="1355">
        <v>1081</v>
      </c>
      <c r="J488" s="1355"/>
      <c r="K488" s="1355"/>
      <c r="L488" s="1351" t="s">
        <v>349</v>
      </c>
      <c r="M488" s="227">
        <f t="shared" si="194"/>
        <v>107.38654</v>
      </c>
      <c r="N488" s="228">
        <f t="shared" si="195"/>
        <v>107.38654</v>
      </c>
      <c r="O488" s="228">
        <f t="shared" si="196"/>
        <v>0</v>
      </c>
      <c r="P488" s="228">
        <f t="shared" si="197"/>
        <v>0</v>
      </c>
      <c r="Q488" s="229"/>
      <c r="R488" s="512">
        <f>SUM(M460:M488)</f>
        <v>9762.5066239999996</v>
      </c>
    </row>
    <row r="489" spans="1:18" hidden="1" outlineLevel="1">
      <c r="A489" s="211" t="s">
        <v>818</v>
      </c>
      <c r="B489" s="1346" t="s">
        <v>408</v>
      </c>
      <c r="C489" s="1332">
        <v>841</v>
      </c>
      <c r="D489" s="1313" t="s">
        <v>431</v>
      </c>
      <c r="E489" s="1347" t="s">
        <v>349</v>
      </c>
      <c r="F489" s="1313" t="s">
        <v>429</v>
      </c>
      <c r="G489" s="1349">
        <v>9.3490000000000004E-2</v>
      </c>
      <c r="H489" s="222">
        <f t="shared" si="193"/>
        <v>275</v>
      </c>
      <c r="I489" s="1354">
        <v>275</v>
      </c>
      <c r="J489" s="1354"/>
      <c r="K489" s="1354"/>
      <c r="L489" s="1347" t="s">
        <v>349</v>
      </c>
      <c r="M489" s="223">
        <f t="shared" ref="M489:M583" si="206">SUM(N489:P489)</f>
        <v>25.70975</v>
      </c>
      <c r="N489" s="224">
        <f t="shared" si="195"/>
        <v>25.70975</v>
      </c>
      <c r="O489" s="224">
        <f t="shared" si="196"/>
        <v>0</v>
      </c>
      <c r="P489" s="224">
        <f t="shared" si="197"/>
        <v>0</v>
      </c>
      <c r="Q489" s="205"/>
    </row>
    <row r="490" spans="1:18" hidden="1" outlineLevel="1">
      <c r="A490" s="211" t="s">
        <v>818</v>
      </c>
      <c r="B490" s="1346" t="s">
        <v>409</v>
      </c>
      <c r="C490" s="1332">
        <v>21717</v>
      </c>
      <c r="D490" s="1313" t="s">
        <v>431</v>
      </c>
      <c r="E490" s="1347" t="s">
        <v>349</v>
      </c>
      <c r="F490" s="1313" t="s">
        <v>429</v>
      </c>
      <c r="G490" s="1349">
        <v>9.3490000000000004E-2</v>
      </c>
      <c r="H490" s="222">
        <f t="shared" si="193"/>
        <v>1007</v>
      </c>
      <c r="I490" s="1354">
        <v>1007</v>
      </c>
      <c r="J490" s="1354"/>
      <c r="K490" s="1354"/>
      <c r="L490" s="1347" t="s">
        <v>349</v>
      </c>
      <c r="M490" s="223">
        <f t="shared" si="206"/>
        <v>94.14443</v>
      </c>
      <c r="N490" s="224">
        <f t="shared" si="195"/>
        <v>94.14443</v>
      </c>
      <c r="O490" s="224">
        <f t="shared" si="196"/>
        <v>0</v>
      </c>
      <c r="P490" s="224">
        <f t="shared" si="197"/>
        <v>0</v>
      </c>
      <c r="Q490" s="205"/>
    </row>
    <row r="491" spans="1:18" hidden="1" outlineLevel="1">
      <c r="A491" s="211" t="s">
        <v>818</v>
      </c>
      <c r="B491" s="1346" t="s">
        <v>410</v>
      </c>
      <c r="C491" s="1332">
        <v>749</v>
      </c>
      <c r="D491" s="1313" t="s">
        <v>431</v>
      </c>
      <c r="E491" s="1347" t="s">
        <v>349</v>
      </c>
      <c r="F491" s="1313" t="s">
        <v>430</v>
      </c>
      <c r="G491" s="1349">
        <v>9.9339999999999998E-2</v>
      </c>
      <c r="H491" s="222">
        <f t="shared" si="193"/>
        <v>8990</v>
      </c>
      <c r="I491" s="1354">
        <v>8990</v>
      </c>
      <c r="J491" s="1354"/>
      <c r="K491" s="1354"/>
      <c r="L491" s="1347" t="s">
        <v>349</v>
      </c>
      <c r="M491" s="223">
        <f t="shared" si="206"/>
        <v>893.06659999999999</v>
      </c>
      <c r="N491" s="224">
        <f t="shared" si="195"/>
        <v>893.06659999999999</v>
      </c>
      <c r="O491" s="224">
        <f t="shared" si="196"/>
        <v>0</v>
      </c>
      <c r="P491" s="224">
        <f t="shared" si="197"/>
        <v>0</v>
      </c>
      <c r="Q491" s="205"/>
    </row>
    <row r="492" spans="1:18" hidden="1" outlineLevel="1">
      <c r="A492" s="211" t="s">
        <v>818</v>
      </c>
      <c r="B492" s="1346" t="s">
        <v>411</v>
      </c>
      <c r="C492" s="1332">
        <v>20044</v>
      </c>
      <c r="D492" s="1313" t="s">
        <v>431</v>
      </c>
      <c r="E492" s="1347" t="s">
        <v>349</v>
      </c>
      <c r="F492" s="1313" t="s">
        <v>430</v>
      </c>
      <c r="G492" s="1349">
        <v>9.9339999999999998E-2</v>
      </c>
      <c r="H492" s="222">
        <f t="shared" ref="H492:H502" si="207">SUM(I492:K492)</f>
        <v>1703</v>
      </c>
      <c r="I492" s="1354">
        <v>1703</v>
      </c>
      <c r="J492" s="1354"/>
      <c r="K492" s="1354"/>
      <c r="L492" s="1347" t="s">
        <v>349</v>
      </c>
      <c r="M492" s="223">
        <f t="shared" ref="M492:M502" si="208">SUM(N492:P492)</f>
        <v>169.17601999999999</v>
      </c>
      <c r="N492" s="224">
        <f t="shared" ref="N492:N502" si="209">G492*I492</f>
        <v>169.17601999999999</v>
      </c>
      <c r="O492" s="224">
        <f t="shared" ref="O492:O502" si="210">G492*J492*5</f>
        <v>0</v>
      </c>
      <c r="P492" s="224">
        <f t="shared" ref="P492:P502" si="211">G492*K492*5</f>
        <v>0</v>
      </c>
      <c r="Q492" s="205"/>
    </row>
    <row r="493" spans="1:18" hidden="1" outlineLevel="1">
      <c r="A493" s="211" t="s">
        <v>818</v>
      </c>
      <c r="B493" s="1346" t="s">
        <v>412</v>
      </c>
      <c r="C493" s="1332">
        <v>15141</v>
      </c>
      <c r="D493" s="1313" t="s">
        <v>431</v>
      </c>
      <c r="E493" s="1347" t="s">
        <v>349</v>
      </c>
      <c r="F493" s="1313" t="s">
        <v>429</v>
      </c>
      <c r="G493" s="1349">
        <v>9.3490000000000004E-2</v>
      </c>
      <c r="H493" s="222">
        <f t="shared" ref="H493" si="212">SUM(I493:K493)</f>
        <v>9</v>
      </c>
      <c r="I493" s="1354">
        <v>9</v>
      </c>
      <c r="J493" s="1354"/>
      <c r="K493" s="1354"/>
      <c r="L493" s="1347" t="s">
        <v>349</v>
      </c>
      <c r="M493" s="223">
        <f t="shared" ref="M493" si="213">SUM(N493:P493)</f>
        <v>0.84140999999999999</v>
      </c>
      <c r="N493" s="224">
        <f t="shared" ref="N493" si="214">G493*I493</f>
        <v>0.84140999999999999</v>
      </c>
      <c r="O493" s="224">
        <f t="shared" ref="O493" si="215">G493*J493*5</f>
        <v>0</v>
      </c>
      <c r="P493" s="224">
        <f t="shared" ref="P493" si="216">G493*K493*5</f>
        <v>0</v>
      </c>
      <c r="Q493" s="205"/>
    </row>
    <row r="494" spans="1:18" hidden="1" outlineLevel="1">
      <c r="A494" s="211" t="s">
        <v>818</v>
      </c>
      <c r="B494" s="1346" t="s">
        <v>413</v>
      </c>
      <c r="C494" s="1332">
        <v>16904</v>
      </c>
      <c r="D494" s="1313" t="s">
        <v>431</v>
      </c>
      <c r="E494" s="1347" t="s">
        <v>349</v>
      </c>
      <c r="F494" s="1313" t="s">
        <v>430</v>
      </c>
      <c r="G494" s="1349">
        <v>9.9339999999999998E-2</v>
      </c>
      <c r="H494" s="222">
        <f t="shared" si="207"/>
        <v>2020</v>
      </c>
      <c r="I494" s="1354">
        <v>2020</v>
      </c>
      <c r="J494" s="1354"/>
      <c r="K494" s="1354"/>
      <c r="L494" s="1347" t="s">
        <v>349</v>
      </c>
      <c r="M494" s="223">
        <f t="shared" si="208"/>
        <v>200.66679999999999</v>
      </c>
      <c r="N494" s="224">
        <f t="shared" si="209"/>
        <v>200.66679999999999</v>
      </c>
      <c r="O494" s="224">
        <f t="shared" si="210"/>
        <v>0</v>
      </c>
      <c r="P494" s="224">
        <f t="shared" si="211"/>
        <v>0</v>
      </c>
      <c r="Q494" s="205"/>
    </row>
    <row r="495" spans="1:18" hidden="1" outlineLevel="1">
      <c r="A495" s="211" t="s">
        <v>818</v>
      </c>
      <c r="B495" s="1346" t="s">
        <v>605</v>
      </c>
      <c r="C495" s="1332">
        <v>891</v>
      </c>
      <c r="D495" s="1313" t="s">
        <v>431</v>
      </c>
      <c r="E495" s="1347" t="s">
        <v>349</v>
      </c>
      <c r="F495" s="1313" t="s">
        <v>429</v>
      </c>
      <c r="G495" s="1349">
        <v>9.3490000000000004E-2</v>
      </c>
      <c r="H495" s="222">
        <f t="shared" si="207"/>
        <v>1438</v>
      </c>
      <c r="I495" s="1354">
        <v>1438</v>
      </c>
      <c r="J495" s="1354"/>
      <c r="K495" s="1354"/>
      <c r="L495" s="1347" t="s">
        <v>349</v>
      </c>
      <c r="M495" s="223">
        <f t="shared" si="208"/>
        <v>134.43862000000001</v>
      </c>
      <c r="N495" s="224">
        <f t="shared" si="209"/>
        <v>134.43862000000001</v>
      </c>
      <c r="O495" s="224">
        <f t="shared" si="210"/>
        <v>0</v>
      </c>
      <c r="P495" s="224">
        <f t="shared" si="211"/>
        <v>0</v>
      </c>
      <c r="Q495" s="205"/>
    </row>
    <row r="496" spans="1:18" hidden="1" outlineLevel="1">
      <c r="A496" s="211" t="s">
        <v>818</v>
      </c>
      <c r="B496" s="1346" t="s">
        <v>606</v>
      </c>
      <c r="C496" s="1332">
        <v>892</v>
      </c>
      <c r="D496" s="1313" t="s">
        <v>431</v>
      </c>
      <c r="E496" s="1347" t="s">
        <v>349</v>
      </c>
      <c r="F496" s="1313" t="s">
        <v>429</v>
      </c>
      <c r="G496" s="1349">
        <v>9.3490000000000004E-2</v>
      </c>
      <c r="H496" s="222">
        <f t="shared" si="207"/>
        <v>6284</v>
      </c>
      <c r="I496" s="1354">
        <v>6284</v>
      </c>
      <c r="J496" s="1354"/>
      <c r="K496" s="1354"/>
      <c r="L496" s="1347" t="s">
        <v>349</v>
      </c>
      <c r="M496" s="223">
        <f t="shared" si="208"/>
        <v>587.49116000000004</v>
      </c>
      <c r="N496" s="224">
        <f t="shared" si="209"/>
        <v>587.49116000000004</v>
      </c>
      <c r="O496" s="224">
        <f t="shared" si="210"/>
        <v>0</v>
      </c>
      <c r="P496" s="224">
        <f t="shared" si="211"/>
        <v>0</v>
      </c>
      <c r="Q496" s="205"/>
    </row>
    <row r="497" spans="1:17" hidden="1" outlineLevel="1">
      <c r="A497" s="211" t="s">
        <v>818</v>
      </c>
      <c r="B497" s="1346" t="s">
        <v>1302</v>
      </c>
      <c r="C497" s="1332">
        <v>708</v>
      </c>
      <c r="D497" s="1313" t="s">
        <v>431</v>
      </c>
      <c r="E497" s="1347" t="s">
        <v>349</v>
      </c>
      <c r="F497" s="1313" t="s">
        <v>430</v>
      </c>
      <c r="G497" s="1349">
        <v>9.9339999999999998E-2</v>
      </c>
      <c r="H497" s="222">
        <f t="shared" si="207"/>
        <v>0</v>
      </c>
      <c r="I497" s="1354">
        <v>0</v>
      </c>
      <c r="J497" s="1354"/>
      <c r="K497" s="1354"/>
      <c r="L497" s="1347" t="s">
        <v>349</v>
      </c>
      <c r="M497" s="223">
        <f t="shared" si="208"/>
        <v>0</v>
      </c>
      <c r="N497" s="224">
        <f t="shared" si="209"/>
        <v>0</v>
      </c>
      <c r="O497" s="224">
        <f t="shared" si="210"/>
        <v>0</v>
      </c>
      <c r="P497" s="224">
        <f t="shared" si="211"/>
        <v>0</v>
      </c>
      <c r="Q497" s="205"/>
    </row>
    <row r="498" spans="1:17" hidden="1" outlineLevel="1">
      <c r="A498" s="211" t="s">
        <v>818</v>
      </c>
      <c r="B498" s="1346" t="s">
        <v>414</v>
      </c>
      <c r="C498" s="1332">
        <v>16757</v>
      </c>
      <c r="D498" s="1313" t="s">
        <v>431</v>
      </c>
      <c r="E498" s="1347" t="s">
        <v>349</v>
      </c>
      <c r="F498" s="1313" t="s">
        <v>429</v>
      </c>
      <c r="G498" s="1349">
        <v>9.3490000000000004E-2</v>
      </c>
      <c r="H498" s="222">
        <f t="shared" si="207"/>
        <v>1484</v>
      </c>
      <c r="I498" s="1354">
        <v>1484</v>
      </c>
      <c r="J498" s="1354"/>
      <c r="K498" s="1354"/>
      <c r="L498" s="1347" t="s">
        <v>349</v>
      </c>
      <c r="M498" s="223">
        <f t="shared" si="208"/>
        <v>138.73916</v>
      </c>
      <c r="N498" s="224">
        <f t="shared" si="209"/>
        <v>138.73916</v>
      </c>
      <c r="O498" s="224">
        <f t="shared" si="210"/>
        <v>0</v>
      </c>
      <c r="P498" s="224">
        <f t="shared" si="211"/>
        <v>0</v>
      </c>
      <c r="Q498" s="205"/>
    </row>
    <row r="499" spans="1:17" hidden="1" outlineLevel="1">
      <c r="A499" s="211" t="s">
        <v>818</v>
      </c>
      <c r="B499" s="1346" t="s">
        <v>596</v>
      </c>
      <c r="C499" s="1332">
        <v>878</v>
      </c>
      <c r="D499" s="1313" t="s">
        <v>431</v>
      </c>
      <c r="E499" s="1347" t="s">
        <v>349</v>
      </c>
      <c r="F499" s="1313" t="s">
        <v>429</v>
      </c>
      <c r="G499" s="1349">
        <v>9.3490000000000004E-2</v>
      </c>
      <c r="H499" s="222">
        <f t="shared" si="207"/>
        <v>3659</v>
      </c>
      <c r="I499" s="1354">
        <v>3659</v>
      </c>
      <c r="J499" s="1354"/>
      <c r="K499" s="1354"/>
      <c r="L499" s="1347" t="s">
        <v>349</v>
      </c>
      <c r="M499" s="223">
        <f t="shared" si="208"/>
        <v>342.07991000000004</v>
      </c>
      <c r="N499" s="224">
        <f t="shared" si="209"/>
        <v>342.07991000000004</v>
      </c>
      <c r="O499" s="224">
        <f t="shared" si="210"/>
        <v>0</v>
      </c>
      <c r="P499" s="224">
        <f t="shared" si="211"/>
        <v>0</v>
      </c>
      <c r="Q499" s="205"/>
    </row>
    <row r="500" spans="1:17" hidden="1" outlineLevel="1">
      <c r="A500" s="211" t="s">
        <v>818</v>
      </c>
      <c r="B500" s="1346" t="s">
        <v>597</v>
      </c>
      <c r="C500" s="1332">
        <v>879</v>
      </c>
      <c r="D500" s="1313" t="s">
        <v>431</v>
      </c>
      <c r="E500" s="1347" t="s">
        <v>349</v>
      </c>
      <c r="F500" s="1313" t="s">
        <v>429</v>
      </c>
      <c r="G500" s="1349">
        <v>9.3490000000000004E-2</v>
      </c>
      <c r="H500" s="222">
        <f t="shared" si="207"/>
        <v>2486</v>
      </c>
      <c r="I500" s="1354">
        <v>2486</v>
      </c>
      <c r="J500" s="1354"/>
      <c r="K500" s="1354"/>
      <c r="L500" s="1347" t="s">
        <v>349</v>
      </c>
      <c r="M500" s="223">
        <f t="shared" si="208"/>
        <v>232.41614000000001</v>
      </c>
      <c r="N500" s="224">
        <f t="shared" si="209"/>
        <v>232.41614000000001</v>
      </c>
      <c r="O500" s="224">
        <f t="shared" si="210"/>
        <v>0</v>
      </c>
      <c r="P500" s="224">
        <f t="shared" si="211"/>
        <v>0</v>
      </c>
      <c r="Q500" s="205"/>
    </row>
    <row r="501" spans="1:17" hidden="1" outlineLevel="1">
      <c r="A501" s="211" t="s">
        <v>818</v>
      </c>
      <c r="B501" s="1346" t="s">
        <v>598</v>
      </c>
      <c r="C501" s="1332">
        <v>880</v>
      </c>
      <c r="D501" s="1313" t="s">
        <v>431</v>
      </c>
      <c r="E501" s="1347" t="s">
        <v>349</v>
      </c>
      <c r="F501" s="1313" t="s">
        <v>429</v>
      </c>
      <c r="G501" s="1349">
        <v>9.3490000000000004E-2</v>
      </c>
      <c r="H501" s="222">
        <f t="shared" si="207"/>
        <v>3665</v>
      </c>
      <c r="I501" s="1354">
        <v>3665</v>
      </c>
      <c r="J501" s="1354"/>
      <c r="K501" s="1354"/>
      <c r="L501" s="1347" t="s">
        <v>349</v>
      </c>
      <c r="M501" s="223">
        <f t="shared" si="208"/>
        <v>342.64085</v>
      </c>
      <c r="N501" s="224">
        <f t="shared" si="209"/>
        <v>342.64085</v>
      </c>
      <c r="O501" s="224">
        <f t="shared" si="210"/>
        <v>0</v>
      </c>
      <c r="P501" s="224">
        <f t="shared" si="211"/>
        <v>0</v>
      </c>
      <c r="Q501" s="205"/>
    </row>
    <row r="502" spans="1:17" hidden="1" outlineLevel="1">
      <c r="A502" s="211" t="s">
        <v>818</v>
      </c>
      <c r="B502" s="1346" t="s">
        <v>415</v>
      </c>
      <c r="C502" s="1332">
        <v>1003</v>
      </c>
      <c r="D502" s="1313" t="s">
        <v>431</v>
      </c>
      <c r="E502" s="1347" t="s">
        <v>349</v>
      </c>
      <c r="F502" s="1313" t="s">
        <v>430</v>
      </c>
      <c r="G502" s="1349">
        <v>9.9339999999999998E-2</v>
      </c>
      <c r="H502" s="222">
        <f t="shared" si="207"/>
        <v>0</v>
      </c>
      <c r="I502" s="1354">
        <v>0</v>
      </c>
      <c r="J502" s="1354"/>
      <c r="K502" s="1354"/>
      <c r="L502" s="1347" t="s">
        <v>349</v>
      </c>
      <c r="M502" s="223">
        <f t="shared" si="208"/>
        <v>0</v>
      </c>
      <c r="N502" s="224">
        <f t="shared" si="209"/>
        <v>0</v>
      </c>
      <c r="O502" s="224">
        <f t="shared" si="210"/>
        <v>0</v>
      </c>
      <c r="P502" s="224">
        <f t="shared" si="211"/>
        <v>0</v>
      </c>
      <c r="Q502" s="205"/>
    </row>
    <row r="503" spans="1:17" hidden="1" outlineLevel="1">
      <c r="A503" s="211" t="s">
        <v>818</v>
      </c>
      <c r="B503" s="1346" t="s">
        <v>607</v>
      </c>
      <c r="C503" s="1332">
        <v>4650</v>
      </c>
      <c r="D503" s="1313" t="s">
        <v>431</v>
      </c>
      <c r="E503" s="1347" t="s">
        <v>349</v>
      </c>
      <c r="F503" s="1313" t="s">
        <v>429</v>
      </c>
      <c r="G503" s="1349">
        <v>9.3490000000000004E-2</v>
      </c>
      <c r="H503" s="222">
        <f t="shared" si="193"/>
        <v>250</v>
      </c>
      <c r="I503" s="1354">
        <v>250</v>
      </c>
      <c r="J503" s="1354"/>
      <c r="K503" s="1354"/>
      <c r="L503" s="1347" t="s">
        <v>349</v>
      </c>
      <c r="M503" s="223">
        <f t="shared" si="206"/>
        <v>23.372500000000002</v>
      </c>
      <c r="N503" s="224">
        <f t="shared" si="195"/>
        <v>23.372500000000002</v>
      </c>
      <c r="O503" s="224">
        <f t="shared" si="196"/>
        <v>0</v>
      </c>
      <c r="P503" s="224">
        <f t="shared" si="197"/>
        <v>0</v>
      </c>
      <c r="Q503" s="205"/>
    </row>
    <row r="504" spans="1:17" hidden="1" outlineLevel="1">
      <c r="A504" s="211" t="s">
        <v>818</v>
      </c>
      <c r="B504" s="1346" t="s">
        <v>1303</v>
      </c>
      <c r="C504" s="1332">
        <v>14114</v>
      </c>
      <c r="D504" s="1313" t="s">
        <v>431</v>
      </c>
      <c r="E504" s="1347" t="s">
        <v>349</v>
      </c>
      <c r="F504" s="1313" t="s">
        <v>430</v>
      </c>
      <c r="G504" s="1349">
        <v>0.18054899999999999</v>
      </c>
      <c r="H504" s="222">
        <f t="shared" si="193"/>
        <v>6682</v>
      </c>
      <c r="I504" s="1354">
        <v>6682</v>
      </c>
      <c r="J504" s="1354"/>
      <c r="K504" s="1354"/>
      <c r="L504" s="1347" t="s">
        <v>349</v>
      </c>
      <c r="M504" s="223">
        <f t="shared" si="206"/>
        <v>1206.428418</v>
      </c>
      <c r="N504" s="224">
        <f t="shared" si="195"/>
        <v>1206.428418</v>
      </c>
      <c r="O504" s="224">
        <f t="shared" si="196"/>
        <v>0</v>
      </c>
      <c r="P504" s="224">
        <f t="shared" si="197"/>
        <v>0</v>
      </c>
      <c r="Q504" s="205"/>
    </row>
    <row r="505" spans="1:17" hidden="1" outlineLevel="1">
      <c r="A505" s="211" t="s">
        <v>818</v>
      </c>
      <c r="B505" s="1346" t="s">
        <v>1303</v>
      </c>
      <c r="C505" s="1332">
        <v>14114</v>
      </c>
      <c r="D505" s="1313" t="s">
        <v>431</v>
      </c>
      <c r="E505" s="1347" t="s">
        <v>349</v>
      </c>
      <c r="F505" s="1313" t="s">
        <v>430</v>
      </c>
      <c r="G505" s="1349">
        <v>9.9339999999999998E-2</v>
      </c>
      <c r="H505" s="222">
        <f t="shared" si="193"/>
        <v>15868</v>
      </c>
      <c r="I505" s="1354">
        <v>15868</v>
      </c>
      <c r="J505" s="1354"/>
      <c r="K505" s="1354"/>
      <c r="L505" s="1347" t="s">
        <v>349</v>
      </c>
      <c r="M505" s="223">
        <f t="shared" si="206"/>
        <v>1576.3271199999999</v>
      </c>
      <c r="N505" s="224">
        <f t="shared" si="195"/>
        <v>1576.3271199999999</v>
      </c>
      <c r="O505" s="224">
        <f t="shared" si="196"/>
        <v>0</v>
      </c>
      <c r="P505" s="224">
        <f t="shared" si="197"/>
        <v>0</v>
      </c>
      <c r="Q505" s="205"/>
    </row>
    <row r="506" spans="1:17" hidden="1" outlineLevel="1">
      <c r="A506" s="211" t="s">
        <v>818</v>
      </c>
      <c r="B506" s="1346" t="s">
        <v>608</v>
      </c>
      <c r="C506" s="1332">
        <v>969</v>
      </c>
      <c r="D506" s="1313" t="s">
        <v>431</v>
      </c>
      <c r="E506" s="1347" t="s">
        <v>349</v>
      </c>
      <c r="F506" s="1313" t="s">
        <v>429</v>
      </c>
      <c r="G506" s="1349">
        <v>9.3490000000000004E-2</v>
      </c>
      <c r="H506" s="222">
        <f t="shared" si="193"/>
        <v>9044</v>
      </c>
      <c r="I506" s="1354">
        <v>9044</v>
      </c>
      <c r="J506" s="1354"/>
      <c r="K506" s="1354"/>
      <c r="L506" s="1347" t="s">
        <v>349</v>
      </c>
      <c r="M506" s="223">
        <f t="shared" si="206"/>
        <v>845.52356000000009</v>
      </c>
      <c r="N506" s="224">
        <f t="shared" si="195"/>
        <v>845.52356000000009</v>
      </c>
      <c r="O506" s="224">
        <f t="shared" si="196"/>
        <v>0</v>
      </c>
      <c r="P506" s="224">
        <f t="shared" si="197"/>
        <v>0</v>
      </c>
      <c r="Q506" s="205"/>
    </row>
    <row r="507" spans="1:17" hidden="1" outlineLevel="1">
      <c r="A507" s="211" t="s">
        <v>818</v>
      </c>
      <c r="B507" s="1346" t="s">
        <v>609</v>
      </c>
      <c r="C507" s="1332">
        <v>1003</v>
      </c>
      <c r="D507" s="1313" t="s">
        <v>431</v>
      </c>
      <c r="E507" s="1347" t="s">
        <v>349</v>
      </c>
      <c r="F507" s="1313" t="s">
        <v>430</v>
      </c>
      <c r="G507" s="1349">
        <v>9.9339999999999998E-2</v>
      </c>
      <c r="H507" s="222">
        <f t="shared" si="193"/>
        <v>4928</v>
      </c>
      <c r="I507" s="1354">
        <v>4928</v>
      </c>
      <c r="J507" s="1354"/>
      <c r="K507" s="1354"/>
      <c r="L507" s="1347" t="s">
        <v>349</v>
      </c>
      <c r="M507" s="223">
        <f t="shared" si="206"/>
        <v>489.54751999999996</v>
      </c>
      <c r="N507" s="224">
        <f t="shared" si="195"/>
        <v>489.54751999999996</v>
      </c>
      <c r="O507" s="224">
        <f t="shared" si="196"/>
        <v>0</v>
      </c>
      <c r="P507" s="224">
        <f t="shared" si="197"/>
        <v>0</v>
      </c>
      <c r="Q507" s="205"/>
    </row>
    <row r="508" spans="1:17" hidden="1" outlineLevel="1">
      <c r="A508" s="211" t="s">
        <v>818</v>
      </c>
      <c r="B508" s="1346" t="s">
        <v>416</v>
      </c>
      <c r="C508" s="1332">
        <v>881</v>
      </c>
      <c r="D508" s="1313" t="s">
        <v>431</v>
      </c>
      <c r="E508" s="1347" t="s">
        <v>349</v>
      </c>
      <c r="F508" s="1313" t="s">
        <v>429</v>
      </c>
      <c r="G508" s="1349">
        <v>9.3490000000000004E-2</v>
      </c>
      <c r="H508" s="222">
        <f t="shared" si="193"/>
        <v>704</v>
      </c>
      <c r="I508" s="1354">
        <v>704</v>
      </c>
      <c r="J508" s="1354"/>
      <c r="K508" s="1354"/>
      <c r="L508" s="1347" t="s">
        <v>349</v>
      </c>
      <c r="M508" s="223">
        <f t="shared" si="206"/>
        <v>65.816960000000009</v>
      </c>
      <c r="N508" s="224">
        <f t="shared" si="195"/>
        <v>65.816960000000009</v>
      </c>
      <c r="O508" s="224">
        <f t="shared" si="196"/>
        <v>0</v>
      </c>
      <c r="P508" s="224">
        <f t="shared" si="197"/>
        <v>0</v>
      </c>
      <c r="Q508" s="205"/>
    </row>
    <row r="509" spans="1:17" hidden="1" outlineLevel="1">
      <c r="A509" s="211" t="s">
        <v>818</v>
      </c>
      <c r="B509" s="1346" t="s">
        <v>417</v>
      </c>
      <c r="C509" s="1332">
        <v>832</v>
      </c>
      <c r="D509" s="1313" t="s">
        <v>431</v>
      </c>
      <c r="E509" s="1347" t="s">
        <v>349</v>
      </c>
      <c r="F509" s="1313" t="s">
        <v>429</v>
      </c>
      <c r="G509" s="1349">
        <v>9.3490000000000004E-2</v>
      </c>
      <c r="H509" s="222">
        <f t="shared" si="193"/>
        <v>340</v>
      </c>
      <c r="I509" s="1354">
        <v>340</v>
      </c>
      <c r="J509" s="1354"/>
      <c r="K509" s="1354"/>
      <c r="L509" s="1347" t="s">
        <v>349</v>
      </c>
      <c r="M509" s="223">
        <f t="shared" si="206"/>
        <v>31.7866</v>
      </c>
      <c r="N509" s="224">
        <f t="shared" si="195"/>
        <v>31.7866</v>
      </c>
      <c r="O509" s="224">
        <f t="shared" si="196"/>
        <v>0</v>
      </c>
      <c r="P509" s="224">
        <f t="shared" si="197"/>
        <v>0</v>
      </c>
      <c r="Q509" s="205"/>
    </row>
    <row r="510" spans="1:17" hidden="1" outlineLevel="1">
      <c r="A510" s="211" t="s">
        <v>818</v>
      </c>
      <c r="B510" s="1346" t="s">
        <v>418</v>
      </c>
      <c r="C510" s="1332">
        <v>1138</v>
      </c>
      <c r="D510" s="1313" t="s">
        <v>431</v>
      </c>
      <c r="E510" s="1347" t="s">
        <v>349</v>
      </c>
      <c r="F510" s="1313" t="s">
        <v>430</v>
      </c>
      <c r="G510" s="1349">
        <v>9.9339999999999998E-2</v>
      </c>
      <c r="H510" s="222">
        <f t="shared" si="193"/>
        <v>9292</v>
      </c>
      <c r="I510" s="1354">
        <v>9292</v>
      </c>
      <c r="J510" s="1354"/>
      <c r="K510" s="1354"/>
      <c r="L510" s="1347" t="s">
        <v>349</v>
      </c>
      <c r="M510" s="223">
        <f t="shared" si="206"/>
        <v>923.06727999999998</v>
      </c>
      <c r="N510" s="224">
        <f t="shared" si="195"/>
        <v>923.06727999999998</v>
      </c>
      <c r="O510" s="224">
        <f t="shared" si="196"/>
        <v>0</v>
      </c>
      <c r="P510" s="224">
        <f t="shared" si="197"/>
        <v>0</v>
      </c>
      <c r="Q510" s="205"/>
    </row>
    <row r="511" spans="1:17" hidden="1" outlineLevel="1">
      <c r="A511" s="211" t="s">
        <v>818</v>
      </c>
      <c r="B511" s="1346" t="s">
        <v>419</v>
      </c>
      <c r="C511" s="1332">
        <v>1010</v>
      </c>
      <c r="D511" s="1313" t="s">
        <v>431</v>
      </c>
      <c r="E511" s="1347" t="s">
        <v>349</v>
      </c>
      <c r="F511" s="1313" t="s">
        <v>430</v>
      </c>
      <c r="G511" s="1349">
        <v>9.9339999999999998E-2</v>
      </c>
      <c r="H511" s="222">
        <f t="shared" si="193"/>
        <v>345</v>
      </c>
      <c r="I511" s="1354">
        <v>345</v>
      </c>
      <c r="J511" s="1354"/>
      <c r="K511" s="1354"/>
      <c r="L511" s="1347" t="s">
        <v>349</v>
      </c>
      <c r="M511" s="223">
        <f t="shared" si="206"/>
        <v>34.272300000000001</v>
      </c>
      <c r="N511" s="224">
        <f t="shared" si="195"/>
        <v>34.272300000000001</v>
      </c>
      <c r="O511" s="224">
        <f t="shared" si="196"/>
        <v>0</v>
      </c>
      <c r="P511" s="224">
        <f t="shared" si="197"/>
        <v>0</v>
      </c>
      <c r="Q511" s="205"/>
    </row>
    <row r="512" spans="1:17" hidden="1" outlineLevel="1">
      <c r="A512" s="211" t="s">
        <v>818</v>
      </c>
      <c r="B512" s="1346" t="s">
        <v>420</v>
      </c>
      <c r="C512" s="1332">
        <v>16476</v>
      </c>
      <c r="D512" s="1313" t="s">
        <v>431</v>
      </c>
      <c r="E512" s="1347" t="s">
        <v>349</v>
      </c>
      <c r="F512" s="1313" t="s">
        <v>430</v>
      </c>
      <c r="G512" s="1349">
        <v>9.9339999999999998E-2</v>
      </c>
      <c r="H512" s="222">
        <f t="shared" si="193"/>
        <v>1041</v>
      </c>
      <c r="I512" s="1354">
        <v>1041</v>
      </c>
      <c r="J512" s="1354"/>
      <c r="K512" s="1354"/>
      <c r="L512" s="1347" t="s">
        <v>349</v>
      </c>
      <c r="M512" s="223">
        <f t="shared" si="206"/>
        <v>103.41293999999999</v>
      </c>
      <c r="N512" s="224">
        <f t="shared" si="195"/>
        <v>103.41293999999999</v>
      </c>
      <c r="O512" s="224">
        <f t="shared" si="196"/>
        <v>0</v>
      </c>
      <c r="P512" s="224">
        <f t="shared" si="197"/>
        <v>0</v>
      </c>
      <c r="Q512" s="205"/>
    </row>
    <row r="513" spans="1:18" hidden="1" outlineLevel="1">
      <c r="A513" s="211" t="s">
        <v>818</v>
      </c>
      <c r="B513" s="1346" t="s">
        <v>602</v>
      </c>
      <c r="C513" s="1332">
        <v>965</v>
      </c>
      <c r="D513" s="1313" t="s">
        <v>431</v>
      </c>
      <c r="E513" s="1347" t="s">
        <v>349</v>
      </c>
      <c r="F513" s="1313" t="s">
        <v>429</v>
      </c>
      <c r="G513" s="1349">
        <v>9.3490000000000004E-2</v>
      </c>
      <c r="H513" s="222">
        <f t="shared" si="193"/>
        <v>1579</v>
      </c>
      <c r="I513" s="1354">
        <v>1579</v>
      </c>
      <c r="J513" s="1354"/>
      <c r="K513" s="1354"/>
      <c r="L513" s="1347" t="s">
        <v>349</v>
      </c>
      <c r="M513" s="223">
        <f t="shared" si="206"/>
        <v>147.62071</v>
      </c>
      <c r="N513" s="224">
        <f t="shared" si="195"/>
        <v>147.62071</v>
      </c>
      <c r="O513" s="224">
        <f t="shared" si="196"/>
        <v>0</v>
      </c>
      <c r="P513" s="224">
        <f t="shared" si="197"/>
        <v>0</v>
      </c>
      <c r="Q513" s="205"/>
    </row>
    <row r="514" spans="1:18" hidden="1" outlineLevel="1">
      <c r="A514" s="211" t="s">
        <v>818</v>
      </c>
      <c r="B514" s="1346" t="s">
        <v>603</v>
      </c>
      <c r="C514" s="1332">
        <v>968</v>
      </c>
      <c r="D514" s="1313" t="s">
        <v>431</v>
      </c>
      <c r="E514" s="1347" t="s">
        <v>349</v>
      </c>
      <c r="F514" s="1313" t="s">
        <v>429</v>
      </c>
      <c r="G514" s="1349">
        <v>9.3490000000000004E-2</v>
      </c>
      <c r="H514" s="222">
        <f t="shared" si="193"/>
        <v>2376</v>
      </c>
      <c r="I514" s="1354">
        <v>2376</v>
      </c>
      <c r="J514" s="1354"/>
      <c r="K514" s="1354"/>
      <c r="L514" s="1347" t="s">
        <v>349</v>
      </c>
      <c r="M514" s="223">
        <f t="shared" si="206"/>
        <v>222.13224</v>
      </c>
      <c r="N514" s="224">
        <f t="shared" si="195"/>
        <v>222.13224</v>
      </c>
      <c r="O514" s="224">
        <f t="shared" si="196"/>
        <v>0</v>
      </c>
      <c r="P514" s="224">
        <f t="shared" si="197"/>
        <v>0</v>
      </c>
      <c r="Q514" s="205"/>
    </row>
    <row r="515" spans="1:18" hidden="1" outlineLevel="1">
      <c r="A515" s="211" t="s">
        <v>818</v>
      </c>
      <c r="B515" s="1346" t="s">
        <v>421</v>
      </c>
      <c r="C515" s="1332">
        <v>964</v>
      </c>
      <c r="D515" s="1313" t="s">
        <v>431</v>
      </c>
      <c r="E515" s="1347" t="s">
        <v>349</v>
      </c>
      <c r="F515" s="1313" t="s">
        <v>429</v>
      </c>
      <c r="G515" s="1349">
        <v>9.3490000000000004E-2</v>
      </c>
      <c r="H515" s="222">
        <f t="shared" si="193"/>
        <v>131</v>
      </c>
      <c r="I515" s="1354">
        <v>131</v>
      </c>
      <c r="J515" s="1354"/>
      <c r="K515" s="1354"/>
      <c r="L515" s="1347" t="s">
        <v>349</v>
      </c>
      <c r="M515" s="223">
        <f t="shared" ref="M515" si="217">SUM(N515:P515)</f>
        <v>12.24719</v>
      </c>
      <c r="N515" s="224">
        <f t="shared" ref="N515" si="218">G515*I515</f>
        <v>12.24719</v>
      </c>
      <c r="O515" s="224">
        <f t="shared" ref="O515" si="219">G515*J515*5</f>
        <v>0</v>
      </c>
      <c r="P515" s="224">
        <f t="shared" ref="P515" si="220">G515*K515*5</f>
        <v>0</v>
      </c>
      <c r="Q515" s="205"/>
    </row>
    <row r="516" spans="1:18" hidden="1" outlineLevel="1">
      <c r="A516" s="211" t="s">
        <v>818</v>
      </c>
      <c r="B516" s="1346" t="s">
        <v>422</v>
      </c>
      <c r="C516" s="1332">
        <v>16477</v>
      </c>
      <c r="D516" s="1313" t="s">
        <v>431</v>
      </c>
      <c r="E516" s="1347" t="s">
        <v>349</v>
      </c>
      <c r="F516" s="1313" t="s">
        <v>430</v>
      </c>
      <c r="G516" s="1349">
        <v>9.9339999999999998E-2</v>
      </c>
      <c r="H516" s="222">
        <f t="shared" si="193"/>
        <v>77</v>
      </c>
      <c r="I516" s="1354">
        <v>77</v>
      </c>
      <c r="J516" s="1354"/>
      <c r="K516" s="1354"/>
      <c r="L516" s="1347" t="s">
        <v>349</v>
      </c>
      <c r="M516" s="223">
        <f t="shared" si="206"/>
        <v>7.6491799999999994</v>
      </c>
      <c r="N516" s="224">
        <f t="shared" si="195"/>
        <v>7.6491799999999994</v>
      </c>
      <c r="O516" s="224">
        <f t="shared" si="196"/>
        <v>0</v>
      </c>
      <c r="P516" s="224">
        <f t="shared" si="197"/>
        <v>0</v>
      </c>
      <c r="Q516" s="205"/>
    </row>
    <row r="517" spans="1:18" hidden="1" outlineLevel="1">
      <c r="A517" s="211" t="s">
        <v>818</v>
      </c>
      <c r="B517" s="1346" t="s">
        <v>423</v>
      </c>
      <c r="C517" s="1332">
        <v>703</v>
      </c>
      <c r="D517" s="1313" t="s">
        <v>431</v>
      </c>
      <c r="E517" s="1347" t="s">
        <v>349</v>
      </c>
      <c r="F517" s="1313" t="s">
        <v>430</v>
      </c>
      <c r="G517" s="1349">
        <v>9.9339999999999998E-2</v>
      </c>
      <c r="H517" s="222">
        <f t="shared" si="193"/>
        <v>1990</v>
      </c>
      <c r="I517" s="1354">
        <v>1990</v>
      </c>
      <c r="J517" s="1354"/>
      <c r="K517" s="1354"/>
      <c r="L517" s="1347" t="s">
        <v>349</v>
      </c>
      <c r="M517" s="223">
        <f t="shared" si="206"/>
        <v>197.6866</v>
      </c>
      <c r="N517" s="224">
        <f t="shared" si="195"/>
        <v>197.6866</v>
      </c>
      <c r="O517" s="224">
        <f t="shared" si="196"/>
        <v>0</v>
      </c>
      <c r="P517" s="224">
        <f t="shared" si="197"/>
        <v>0</v>
      </c>
      <c r="Q517" s="205"/>
    </row>
    <row r="518" spans="1:18" hidden="1" outlineLevel="1">
      <c r="A518" s="211" t="s">
        <v>818</v>
      </c>
      <c r="B518" s="1346" t="s">
        <v>604</v>
      </c>
      <c r="C518" s="1332">
        <v>707</v>
      </c>
      <c r="D518" s="1313" t="s">
        <v>431</v>
      </c>
      <c r="E518" s="1347" t="s">
        <v>349</v>
      </c>
      <c r="F518" s="1313" t="s">
        <v>430</v>
      </c>
      <c r="G518" s="1349">
        <v>9.9339999999999998E-2</v>
      </c>
      <c r="H518" s="222">
        <f t="shared" si="193"/>
        <v>11542</v>
      </c>
      <c r="I518" s="1354">
        <v>11542</v>
      </c>
      <c r="J518" s="1354"/>
      <c r="K518" s="1354"/>
      <c r="L518" s="1347" t="s">
        <v>349</v>
      </c>
      <c r="M518" s="223">
        <f t="shared" ref="M518" si="221">SUM(N518:P518)</f>
        <v>1146.5822800000001</v>
      </c>
      <c r="N518" s="224">
        <f t="shared" ref="N518" si="222">G518*I518</f>
        <v>1146.5822800000001</v>
      </c>
      <c r="O518" s="224">
        <f t="shared" ref="O518" si="223">G518*J518*5</f>
        <v>0</v>
      </c>
      <c r="P518" s="224">
        <f t="shared" ref="P518" si="224">G518*K518*5</f>
        <v>0</v>
      </c>
      <c r="Q518" s="205"/>
    </row>
    <row r="519" spans="1:18" hidden="1" outlineLevel="1">
      <c r="A519" s="211" t="s">
        <v>818</v>
      </c>
      <c r="B519" s="1346" t="s">
        <v>466</v>
      </c>
      <c r="C519" s="1332">
        <v>15025</v>
      </c>
      <c r="D519" s="1313" t="s">
        <v>431</v>
      </c>
      <c r="E519" s="1347" t="s">
        <v>349</v>
      </c>
      <c r="F519" s="1313" t="s">
        <v>430</v>
      </c>
      <c r="G519" s="1349">
        <v>9.9339999999999998E-2</v>
      </c>
      <c r="H519" s="222">
        <f t="shared" si="193"/>
        <v>1339</v>
      </c>
      <c r="I519" s="1354">
        <v>1339</v>
      </c>
      <c r="J519" s="1354"/>
      <c r="K519" s="1354"/>
      <c r="L519" s="1347" t="s">
        <v>349</v>
      </c>
      <c r="M519" s="223">
        <f t="shared" si="206"/>
        <v>133.01625999999999</v>
      </c>
      <c r="N519" s="224">
        <f t="shared" si="195"/>
        <v>133.01625999999999</v>
      </c>
      <c r="O519" s="224">
        <f t="shared" si="196"/>
        <v>0</v>
      </c>
      <c r="P519" s="224">
        <f t="shared" si="197"/>
        <v>0</v>
      </c>
      <c r="Q519" s="205"/>
    </row>
    <row r="520" spans="1:18" hidden="1" outlineLevel="1">
      <c r="A520" s="225" t="s">
        <v>818</v>
      </c>
      <c r="B520" s="1350" t="s">
        <v>461</v>
      </c>
      <c r="C520" s="1336">
        <v>60447</v>
      </c>
      <c r="D520" s="1321" t="s">
        <v>431</v>
      </c>
      <c r="E520" s="1351" t="s">
        <v>349</v>
      </c>
      <c r="F520" s="1321" t="s">
        <v>430</v>
      </c>
      <c r="G520" s="1352">
        <v>9.9339999999999998E-2</v>
      </c>
      <c r="H520" s="226">
        <f t="shared" si="193"/>
        <v>18340</v>
      </c>
      <c r="I520" s="1355">
        <v>18340</v>
      </c>
      <c r="J520" s="1355"/>
      <c r="K520" s="1355"/>
      <c r="L520" s="1351" t="s">
        <v>349</v>
      </c>
      <c r="M520" s="227">
        <f t="shared" si="206"/>
        <v>1821.8956000000001</v>
      </c>
      <c r="N520" s="228">
        <f t="shared" si="195"/>
        <v>1821.8956000000001</v>
      </c>
      <c r="O520" s="228">
        <f t="shared" si="196"/>
        <v>0</v>
      </c>
      <c r="P520" s="228">
        <f t="shared" si="197"/>
        <v>0</v>
      </c>
      <c r="Q520" s="230"/>
      <c r="R520" s="512">
        <f>SUM(M489:M520)</f>
        <v>12149.796108000004</v>
      </c>
    </row>
    <row r="521" spans="1:18" hidden="1" outlineLevel="1">
      <c r="A521" s="211" t="s">
        <v>818</v>
      </c>
      <c r="B521" s="1346" t="s">
        <v>408</v>
      </c>
      <c r="C521" s="1332">
        <v>841</v>
      </c>
      <c r="D521" s="1313" t="s">
        <v>432</v>
      </c>
      <c r="E521" s="1347" t="s">
        <v>349</v>
      </c>
      <c r="F521" s="1313" t="s">
        <v>429</v>
      </c>
      <c r="G521" s="1349">
        <v>9.3490000000000004E-2</v>
      </c>
      <c r="H521" s="222">
        <f t="shared" si="193"/>
        <v>288</v>
      </c>
      <c r="I521" s="1354">
        <v>288</v>
      </c>
      <c r="J521" s="1354"/>
      <c r="K521" s="1354"/>
      <c r="L521" s="1347" t="s">
        <v>349</v>
      </c>
      <c r="M521" s="223">
        <f t="shared" si="206"/>
        <v>26.92512</v>
      </c>
      <c r="N521" s="224">
        <f t="shared" si="195"/>
        <v>26.92512</v>
      </c>
      <c r="O521" s="224">
        <f t="shared" si="196"/>
        <v>0</v>
      </c>
      <c r="P521" s="224">
        <f t="shared" si="197"/>
        <v>0</v>
      </c>
      <c r="Q521" s="205"/>
    </row>
    <row r="522" spans="1:18" hidden="1" outlineLevel="1">
      <c r="A522" s="211" t="s">
        <v>818</v>
      </c>
      <c r="B522" s="1346" t="s">
        <v>409</v>
      </c>
      <c r="C522" s="1332">
        <v>21717</v>
      </c>
      <c r="D522" s="1313" t="s">
        <v>432</v>
      </c>
      <c r="E522" s="1347" t="s">
        <v>349</v>
      </c>
      <c r="F522" s="1313" t="s">
        <v>429</v>
      </c>
      <c r="G522" s="1349">
        <v>9.3490000000000004E-2</v>
      </c>
      <c r="H522" s="222">
        <f t="shared" si="193"/>
        <v>1001</v>
      </c>
      <c r="I522" s="1354">
        <v>1001</v>
      </c>
      <c r="J522" s="1354"/>
      <c r="K522" s="1354"/>
      <c r="L522" s="1347" t="s">
        <v>349</v>
      </c>
      <c r="M522" s="223">
        <f t="shared" si="206"/>
        <v>93.583489999999998</v>
      </c>
      <c r="N522" s="224">
        <f t="shared" si="195"/>
        <v>93.583489999999998</v>
      </c>
      <c r="O522" s="224">
        <f t="shared" si="196"/>
        <v>0</v>
      </c>
      <c r="P522" s="224">
        <f t="shared" si="197"/>
        <v>0</v>
      </c>
      <c r="Q522" s="205"/>
    </row>
    <row r="523" spans="1:18" hidden="1" outlineLevel="1">
      <c r="A523" s="211" t="s">
        <v>818</v>
      </c>
      <c r="B523" s="1346" t="s">
        <v>410</v>
      </c>
      <c r="C523" s="1332">
        <v>749</v>
      </c>
      <c r="D523" s="1313" t="s">
        <v>432</v>
      </c>
      <c r="E523" s="1347" t="s">
        <v>349</v>
      </c>
      <c r="F523" s="1313" t="s">
        <v>430</v>
      </c>
      <c r="G523" s="1349">
        <v>9.9339999999999998E-2</v>
      </c>
      <c r="H523" s="222">
        <f t="shared" si="193"/>
        <v>8975</v>
      </c>
      <c r="I523" s="1354">
        <v>8975</v>
      </c>
      <c r="J523" s="1354"/>
      <c r="K523" s="1354"/>
      <c r="L523" s="1347" t="s">
        <v>349</v>
      </c>
      <c r="M523" s="223">
        <f t="shared" si="206"/>
        <v>891.57650000000001</v>
      </c>
      <c r="N523" s="224">
        <f t="shared" si="195"/>
        <v>891.57650000000001</v>
      </c>
      <c r="O523" s="224">
        <f t="shared" si="196"/>
        <v>0</v>
      </c>
      <c r="P523" s="224">
        <f t="shared" si="197"/>
        <v>0</v>
      </c>
      <c r="Q523" s="205"/>
    </row>
    <row r="524" spans="1:18" hidden="1" outlineLevel="1">
      <c r="A524" s="211" t="s">
        <v>818</v>
      </c>
      <c r="B524" s="1346" t="s">
        <v>411</v>
      </c>
      <c r="C524" s="1332">
        <v>20044</v>
      </c>
      <c r="D524" s="1313" t="s">
        <v>432</v>
      </c>
      <c r="E524" s="1347" t="s">
        <v>349</v>
      </c>
      <c r="F524" s="1313" t="s">
        <v>430</v>
      </c>
      <c r="G524" s="1349">
        <v>9.9339999999999998E-2</v>
      </c>
      <c r="H524" s="222">
        <f t="shared" si="193"/>
        <v>2210</v>
      </c>
      <c r="I524" s="1354">
        <v>2210</v>
      </c>
      <c r="J524" s="1354"/>
      <c r="K524" s="1354"/>
      <c r="L524" s="1347" t="s">
        <v>349</v>
      </c>
      <c r="M524" s="223">
        <f t="shared" si="206"/>
        <v>219.54139999999998</v>
      </c>
      <c r="N524" s="224">
        <f t="shared" si="195"/>
        <v>219.54139999999998</v>
      </c>
      <c r="O524" s="224">
        <f t="shared" si="196"/>
        <v>0</v>
      </c>
      <c r="P524" s="224">
        <f t="shared" si="197"/>
        <v>0</v>
      </c>
      <c r="Q524" s="205"/>
    </row>
    <row r="525" spans="1:18" hidden="1" outlineLevel="1">
      <c r="A525" s="211" t="s">
        <v>818</v>
      </c>
      <c r="B525" s="1346" t="s">
        <v>412</v>
      </c>
      <c r="C525" s="1332">
        <v>15141</v>
      </c>
      <c r="D525" s="1313" t="s">
        <v>432</v>
      </c>
      <c r="E525" s="1347" t="s">
        <v>349</v>
      </c>
      <c r="F525" s="1313" t="s">
        <v>429</v>
      </c>
      <c r="G525" s="1349">
        <v>9.3490000000000004E-2</v>
      </c>
      <c r="H525" s="222">
        <f t="shared" ref="H525:H534" si="225">SUM(I525:K525)</f>
        <v>9</v>
      </c>
      <c r="I525" s="1354">
        <v>9</v>
      </c>
      <c r="J525" s="1354"/>
      <c r="K525" s="1354"/>
      <c r="L525" s="1347" t="s">
        <v>349</v>
      </c>
      <c r="M525" s="223">
        <f t="shared" ref="M525:M534" si="226">SUM(N525:P525)</f>
        <v>0.84140999999999999</v>
      </c>
      <c r="N525" s="224">
        <f t="shared" ref="N525:N534" si="227">G525*I525</f>
        <v>0.84140999999999999</v>
      </c>
      <c r="O525" s="224">
        <f t="shared" ref="O525:O534" si="228">G525*J525*5</f>
        <v>0</v>
      </c>
      <c r="P525" s="224">
        <f t="shared" ref="P525:P534" si="229">G525*K525*5</f>
        <v>0</v>
      </c>
      <c r="Q525" s="205"/>
    </row>
    <row r="526" spans="1:18" hidden="1" outlineLevel="1">
      <c r="A526" s="211" t="s">
        <v>818</v>
      </c>
      <c r="B526" s="1346" t="s">
        <v>413</v>
      </c>
      <c r="C526" s="1332">
        <v>16904</v>
      </c>
      <c r="D526" s="1313" t="s">
        <v>432</v>
      </c>
      <c r="E526" s="1347" t="s">
        <v>349</v>
      </c>
      <c r="F526" s="1313" t="s">
        <v>430</v>
      </c>
      <c r="G526" s="1349">
        <v>9.9339999999999998E-2</v>
      </c>
      <c r="H526" s="222">
        <f t="shared" si="225"/>
        <v>2095</v>
      </c>
      <c r="I526" s="1354">
        <v>2095</v>
      </c>
      <c r="J526" s="1354"/>
      <c r="K526" s="1354"/>
      <c r="L526" s="1347" t="s">
        <v>349</v>
      </c>
      <c r="M526" s="223">
        <f t="shared" si="226"/>
        <v>208.1173</v>
      </c>
      <c r="N526" s="224">
        <f t="shared" si="227"/>
        <v>208.1173</v>
      </c>
      <c r="O526" s="224">
        <f t="shared" si="228"/>
        <v>0</v>
      </c>
      <c r="P526" s="224">
        <f t="shared" si="229"/>
        <v>0</v>
      </c>
      <c r="Q526" s="205"/>
    </row>
    <row r="527" spans="1:18" hidden="1" outlineLevel="1">
      <c r="A527" s="211" t="s">
        <v>818</v>
      </c>
      <c r="B527" s="1346" t="s">
        <v>610</v>
      </c>
      <c r="C527" s="1332">
        <v>892</v>
      </c>
      <c r="D527" s="1313" t="s">
        <v>432</v>
      </c>
      <c r="E527" s="1347" t="s">
        <v>349</v>
      </c>
      <c r="F527" s="1313" t="s">
        <v>429</v>
      </c>
      <c r="G527" s="1349">
        <v>9.3490000000000004E-2</v>
      </c>
      <c r="H527" s="222">
        <f t="shared" si="225"/>
        <v>6279</v>
      </c>
      <c r="I527" s="1354">
        <v>6279</v>
      </c>
      <c r="J527" s="1354"/>
      <c r="K527" s="1354"/>
      <c r="L527" s="1347" t="s">
        <v>349</v>
      </c>
      <c r="M527" s="223">
        <f t="shared" si="226"/>
        <v>587.02371000000005</v>
      </c>
      <c r="N527" s="224">
        <f t="shared" si="227"/>
        <v>587.02371000000005</v>
      </c>
      <c r="O527" s="224">
        <f t="shared" si="228"/>
        <v>0</v>
      </c>
      <c r="P527" s="224">
        <f t="shared" si="229"/>
        <v>0</v>
      </c>
      <c r="Q527" s="205"/>
    </row>
    <row r="528" spans="1:18" hidden="1" outlineLevel="1">
      <c r="A528" s="211" t="s">
        <v>818</v>
      </c>
      <c r="B528" s="1346" t="s">
        <v>605</v>
      </c>
      <c r="C528" s="1332">
        <v>891</v>
      </c>
      <c r="D528" s="1313" t="s">
        <v>432</v>
      </c>
      <c r="E528" s="1347" t="s">
        <v>349</v>
      </c>
      <c r="F528" s="1313" t="s">
        <v>429</v>
      </c>
      <c r="G528" s="1349">
        <v>9.3490000000000004E-2</v>
      </c>
      <c r="H528" s="222">
        <f t="shared" si="225"/>
        <v>1642</v>
      </c>
      <c r="I528" s="1354">
        <v>1642</v>
      </c>
      <c r="J528" s="1354"/>
      <c r="K528" s="1354"/>
      <c r="L528" s="1347" t="s">
        <v>349</v>
      </c>
      <c r="M528" s="223">
        <f t="shared" si="226"/>
        <v>153.51058</v>
      </c>
      <c r="N528" s="224">
        <f t="shared" si="227"/>
        <v>153.51058</v>
      </c>
      <c r="O528" s="224">
        <f t="shared" si="228"/>
        <v>0</v>
      </c>
      <c r="P528" s="224">
        <f t="shared" si="229"/>
        <v>0</v>
      </c>
      <c r="Q528" s="205"/>
    </row>
    <row r="529" spans="1:17" hidden="1" outlineLevel="1">
      <c r="A529" s="211" t="s">
        <v>818</v>
      </c>
      <c r="B529" s="1346" t="s">
        <v>611</v>
      </c>
      <c r="C529" s="1332">
        <v>708</v>
      </c>
      <c r="D529" s="1313" t="s">
        <v>432</v>
      </c>
      <c r="E529" s="1347" t="s">
        <v>349</v>
      </c>
      <c r="F529" s="1313" t="s">
        <v>430</v>
      </c>
      <c r="G529" s="1349">
        <v>9.9339999999999998E-2</v>
      </c>
      <c r="H529" s="222">
        <f t="shared" si="225"/>
        <v>0</v>
      </c>
      <c r="I529" s="1354">
        <v>0</v>
      </c>
      <c r="J529" s="1354"/>
      <c r="K529" s="1354"/>
      <c r="L529" s="1347" t="s">
        <v>349</v>
      </c>
      <c r="M529" s="223">
        <f t="shared" si="226"/>
        <v>0</v>
      </c>
      <c r="N529" s="224">
        <f t="shared" si="227"/>
        <v>0</v>
      </c>
      <c r="O529" s="224">
        <f t="shared" si="228"/>
        <v>0</v>
      </c>
      <c r="P529" s="224">
        <f t="shared" si="229"/>
        <v>0</v>
      </c>
      <c r="Q529" s="205"/>
    </row>
    <row r="530" spans="1:17" hidden="1" outlineLevel="1">
      <c r="A530" s="211" t="s">
        <v>818</v>
      </c>
      <c r="B530" s="1346" t="s">
        <v>414</v>
      </c>
      <c r="C530" s="1332">
        <v>16757</v>
      </c>
      <c r="D530" s="1313" t="s">
        <v>432</v>
      </c>
      <c r="E530" s="1347" t="s">
        <v>349</v>
      </c>
      <c r="F530" s="1313" t="s">
        <v>429</v>
      </c>
      <c r="G530" s="1349">
        <v>9.3490000000000004E-2</v>
      </c>
      <c r="H530" s="222">
        <f t="shared" si="225"/>
        <v>910</v>
      </c>
      <c r="I530" s="1354">
        <v>910</v>
      </c>
      <c r="J530" s="1354"/>
      <c r="K530" s="1354"/>
      <c r="L530" s="1347" t="s">
        <v>349</v>
      </c>
      <c r="M530" s="223">
        <f t="shared" si="226"/>
        <v>85.075900000000004</v>
      </c>
      <c r="N530" s="224">
        <f t="shared" si="227"/>
        <v>85.075900000000004</v>
      </c>
      <c r="O530" s="224">
        <f t="shared" si="228"/>
        <v>0</v>
      </c>
      <c r="P530" s="224">
        <f t="shared" si="229"/>
        <v>0</v>
      </c>
      <c r="Q530" s="205"/>
    </row>
    <row r="531" spans="1:17" hidden="1" outlineLevel="1">
      <c r="A531" s="211" t="s">
        <v>818</v>
      </c>
      <c r="B531" s="1346" t="s">
        <v>596</v>
      </c>
      <c r="C531" s="1332">
        <v>878</v>
      </c>
      <c r="D531" s="1313" t="s">
        <v>432</v>
      </c>
      <c r="E531" s="1347" t="s">
        <v>349</v>
      </c>
      <c r="F531" s="1313" t="s">
        <v>429</v>
      </c>
      <c r="G531" s="1349">
        <v>9.3490000000000004E-2</v>
      </c>
      <c r="H531" s="222">
        <f t="shared" si="225"/>
        <v>3837</v>
      </c>
      <c r="I531" s="1354">
        <v>3837</v>
      </c>
      <c r="J531" s="1354"/>
      <c r="K531" s="1354"/>
      <c r="L531" s="1347" t="s">
        <v>349</v>
      </c>
      <c r="M531" s="223">
        <f t="shared" si="226"/>
        <v>358.72113000000002</v>
      </c>
      <c r="N531" s="224">
        <f t="shared" si="227"/>
        <v>358.72113000000002</v>
      </c>
      <c r="O531" s="224">
        <f t="shared" si="228"/>
        <v>0</v>
      </c>
      <c r="P531" s="224">
        <f t="shared" si="229"/>
        <v>0</v>
      </c>
      <c r="Q531" s="205"/>
    </row>
    <row r="532" spans="1:17" hidden="1" outlineLevel="1">
      <c r="A532" s="211" t="s">
        <v>818</v>
      </c>
      <c r="B532" s="1346" t="s">
        <v>597</v>
      </c>
      <c r="C532" s="1332">
        <v>879</v>
      </c>
      <c r="D532" s="1313" t="s">
        <v>432</v>
      </c>
      <c r="E532" s="1347" t="s">
        <v>349</v>
      </c>
      <c r="F532" s="1313" t="s">
        <v>429</v>
      </c>
      <c r="G532" s="1349">
        <v>9.3490000000000004E-2</v>
      </c>
      <c r="H532" s="222">
        <f t="shared" si="225"/>
        <v>3663</v>
      </c>
      <c r="I532" s="1354">
        <v>3663</v>
      </c>
      <c r="J532" s="1354"/>
      <c r="K532" s="1354"/>
      <c r="L532" s="1347" t="s">
        <v>349</v>
      </c>
      <c r="M532" s="223">
        <f t="shared" si="226"/>
        <v>342.45386999999999</v>
      </c>
      <c r="N532" s="224">
        <f t="shared" si="227"/>
        <v>342.45386999999999</v>
      </c>
      <c r="O532" s="224">
        <f t="shared" si="228"/>
        <v>0</v>
      </c>
      <c r="P532" s="224">
        <f t="shared" si="229"/>
        <v>0</v>
      </c>
      <c r="Q532" s="205"/>
    </row>
    <row r="533" spans="1:17" hidden="1" outlineLevel="1">
      <c r="A533" s="211" t="s">
        <v>818</v>
      </c>
      <c r="B533" s="1346" t="s">
        <v>612</v>
      </c>
      <c r="C533" s="1332">
        <v>14114</v>
      </c>
      <c r="D533" s="1313" t="s">
        <v>432</v>
      </c>
      <c r="E533" s="1347" t="s">
        <v>349</v>
      </c>
      <c r="F533" s="1313" t="s">
        <v>430</v>
      </c>
      <c r="G533" s="1349">
        <v>9.9339999999999998E-2</v>
      </c>
      <c r="H533" s="222">
        <f t="shared" si="225"/>
        <v>16581</v>
      </c>
      <c r="I533" s="1354">
        <v>16581</v>
      </c>
      <c r="J533" s="1354"/>
      <c r="K533" s="1354"/>
      <c r="L533" s="1347" t="s">
        <v>349</v>
      </c>
      <c r="M533" s="223">
        <f t="shared" si="226"/>
        <v>1647.1565399999999</v>
      </c>
      <c r="N533" s="224">
        <f t="shared" si="227"/>
        <v>1647.1565399999999</v>
      </c>
      <c r="O533" s="224">
        <f t="shared" si="228"/>
        <v>0</v>
      </c>
      <c r="P533" s="224">
        <f t="shared" si="229"/>
        <v>0</v>
      </c>
      <c r="Q533" s="205"/>
    </row>
    <row r="534" spans="1:17" hidden="1" outlineLevel="1">
      <c r="A534" s="211" t="s">
        <v>818</v>
      </c>
      <c r="B534" s="1346" t="s">
        <v>598</v>
      </c>
      <c r="C534" s="1332">
        <v>880</v>
      </c>
      <c r="D534" s="1313" t="s">
        <v>432</v>
      </c>
      <c r="E534" s="1347" t="s">
        <v>349</v>
      </c>
      <c r="F534" s="1313" t="s">
        <v>429</v>
      </c>
      <c r="G534" s="1349">
        <v>9.3490000000000004E-2</v>
      </c>
      <c r="H534" s="222">
        <f t="shared" si="225"/>
        <v>2730</v>
      </c>
      <c r="I534" s="1354">
        <v>2730</v>
      </c>
      <c r="J534" s="1354"/>
      <c r="K534" s="1354"/>
      <c r="L534" s="1347" t="s">
        <v>349</v>
      </c>
      <c r="M534" s="223">
        <f t="shared" si="226"/>
        <v>255.2277</v>
      </c>
      <c r="N534" s="224">
        <f t="shared" si="227"/>
        <v>255.2277</v>
      </c>
      <c r="O534" s="224">
        <f t="shared" si="228"/>
        <v>0</v>
      </c>
      <c r="P534" s="224">
        <f t="shared" si="229"/>
        <v>0</v>
      </c>
      <c r="Q534" s="205"/>
    </row>
    <row r="535" spans="1:17" hidden="1" outlineLevel="1">
      <c r="A535" s="211" t="s">
        <v>818</v>
      </c>
      <c r="B535" s="1346" t="s">
        <v>613</v>
      </c>
      <c r="C535" s="1332">
        <v>4650</v>
      </c>
      <c r="D535" s="1313" t="s">
        <v>432</v>
      </c>
      <c r="E535" s="1347" t="s">
        <v>349</v>
      </c>
      <c r="F535" s="1313" t="s">
        <v>429</v>
      </c>
      <c r="G535" s="1349">
        <v>9.3490000000000004E-2</v>
      </c>
      <c r="H535" s="222">
        <f t="shared" si="193"/>
        <v>0</v>
      </c>
      <c r="I535" s="1354">
        <v>0</v>
      </c>
      <c r="J535" s="1354"/>
      <c r="K535" s="1354"/>
      <c r="L535" s="1347" t="s">
        <v>349</v>
      </c>
      <c r="M535" s="223">
        <f t="shared" si="206"/>
        <v>0</v>
      </c>
      <c r="N535" s="224">
        <f t="shared" si="195"/>
        <v>0</v>
      </c>
      <c r="O535" s="224">
        <f t="shared" si="196"/>
        <v>0</v>
      </c>
      <c r="P535" s="224">
        <f t="shared" si="197"/>
        <v>0</v>
      </c>
      <c r="Q535" s="205"/>
    </row>
    <row r="536" spans="1:17" hidden="1" outlineLevel="1">
      <c r="A536" s="211" t="s">
        <v>818</v>
      </c>
      <c r="B536" s="1346" t="s">
        <v>614</v>
      </c>
      <c r="C536" s="1332">
        <v>14114</v>
      </c>
      <c r="D536" s="1313" t="s">
        <v>432</v>
      </c>
      <c r="E536" s="1347" t="s">
        <v>349</v>
      </c>
      <c r="F536" s="1313" t="s">
        <v>430</v>
      </c>
      <c r="G536" s="1349">
        <v>0.18054899999999999</v>
      </c>
      <c r="H536" s="222">
        <f t="shared" si="193"/>
        <v>6521</v>
      </c>
      <c r="I536" s="1354">
        <v>6521</v>
      </c>
      <c r="J536" s="1354"/>
      <c r="K536" s="1354"/>
      <c r="L536" s="1347" t="s">
        <v>349</v>
      </c>
      <c r="M536" s="223">
        <f t="shared" si="206"/>
        <v>1177.3600289999999</v>
      </c>
      <c r="N536" s="224">
        <f t="shared" si="195"/>
        <v>1177.3600289999999</v>
      </c>
      <c r="O536" s="224">
        <f t="shared" si="196"/>
        <v>0</v>
      </c>
      <c r="P536" s="224">
        <f t="shared" si="197"/>
        <v>0</v>
      </c>
      <c r="Q536" s="205"/>
    </row>
    <row r="537" spans="1:17" hidden="1" outlineLevel="1">
      <c r="A537" s="211" t="s">
        <v>818</v>
      </c>
      <c r="B537" s="1346" t="s">
        <v>615</v>
      </c>
      <c r="C537" s="1332">
        <v>969</v>
      </c>
      <c r="D537" s="1313" t="s">
        <v>432</v>
      </c>
      <c r="E537" s="1347" t="s">
        <v>349</v>
      </c>
      <c r="F537" s="1313" t="s">
        <v>429</v>
      </c>
      <c r="G537" s="1349">
        <v>9.3490000000000004E-2</v>
      </c>
      <c r="H537" s="222">
        <f t="shared" si="193"/>
        <v>2149</v>
      </c>
      <c r="I537" s="1354">
        <v>2149</v>
      </c>
      <c r="J537" s="1354"/>
      <c r="K537" s="1354"/>
      <c r="L537" s="1347" t="s">
        <v>349</v>
      </c>
      <c r="M537" s="223">
        <f t="shared" si="206"/>
        <v>200.91001</v>
      </c>
      <c r="N537" s="224">
        <f t="shared" si="195"/>
        <v>200.91001</v>
      </c>
      <c r="O537" s="224">
        <f t="shared" si="196"/>
        <v>0</v>
      </c>
      <c r="P537" s="224">
        <f t="shared" si="197"/>
        <v>0</v>
      </c>
      <c r="Q537" s="205"/>
    </row>
    <row r="538" spans="1:17" hidden="1" outlineLevel="1">
      <c r="A538" s="211" t="s">
        <v>818</v>
      </c>
      <c r="B538" s="1346" t="s">
        <v>616</v>
      </c>
      <c r="C538" s="1332">
        <v>1003</v>
      </c>
      <c r="D538" s="1313" t="s">
        <v>432</v>
      </c>
      <c r="E538" s="1347" t="s">
        <v>349</v>
      </c>
      <c r="F538" s="1313" t="s">
        <v>430</v>
      </c>
      <c r="G538" s="1349">
        <v>9.9339999999999998E-2</v>
      </c>
      <c r="H538" s="222">
        <f t="shared" si="193"/>
        <v>4002</v>
      </c>
      <c r="I538" s="1354">
        <v>4002</v>
      </c>
      <c r="J538" s="1354"/>
      <c r="K538" s="1354"/>
      <c r="L538" s="1347" t="s">
        <v>349</v>
      </c>
      <c r="M538" s="223">
        <f t="shared" si="206"/>
        <v>397.55867999999998</v>
      </c>
      <c r="N538" s="224">
        <f t="shared" si="195"/>
        <v>397.55867999999998</v>
      </c>
      <c r="O538" s="224">
        <f t="shared" si="196"/>
        <v>0</v>
      </c>
      <c r="P538" s="224">
        <f t="shared" si="197"/>
        <v>0</v>
      </c>
      <c r="Q538" s="205"/>
    </row>
    <row r="539" spans="1:17" hidden="1" outlineLevel="1">
      <c r="A539" s="211" t="s">
        <v>818</v>
      </c>
      <c r="B539" s="1346" t="s">
        <v>416</v>
      </c>
      <c r="C539" s="1332">
        <v>881</v>
      </c>
      <c r="D539" s="1313" t="s">
        <v>432</v>
      </c>
      <c r="E539" s="1347" t="s">
        <v>349</v>
      </c>
      <c r="F539" s="1313" t="s">
        <v>429</v>
      </c>
      <c r="G539" s="1349">
        <v>9.3490000000000004E-2</v>
      </c>
      <c r="H539" s="222">
        <f t="shared" si="193"/>
        <v>864</v>
      </c>
      <c r="I539" s="1354">
        <v>864</v>
      </c>
      <c r="J539" s="1354"/>
      <c r="K539" s="1354"/>
      <c r="L539" s="1347" t="s">
        <v>349</v>
      </c>
      <c r="M539" s="223">
        <f t="shared" ref="M539:M541" si="230">SUM(N539:P539)</f>
        <v>80.775360000000006</v>
      </c>
      <c r="N539" s="224">
        <f t="shared" ref="N539:N541" si="231">G539*I539</f>
        <v>80.775360000000006</v>
      </c>
      <c r="O539" s="224">
        <f t="shared" ref="O539:O541" si="232">G539*J539*5</f>
        <v>0</v>
      </c>
      <c r="P539" s="224">
        <f t="shared" ref="P539:P541" si="233">G539*K539*5</f>
        <v>0</v>
      </c>
      <c r="Q539" s="205"/>
    </row>
    <row r="540" spans="1:17" hidden="1" outlineLevel="1">
      <c r="A540" s="211" t="s">
        <v>818</v>
      </c>
      <c r="B540" s="1346" t="s">
        <v>417</v>
      </c>
      <c r="C540" s="1332">
        <v>832</v>
      </c>
      <c r="D540" s="1313" t="s">
        <v>432</v>
      </c>
      <c r="E540" s="1347" t="s">
        <v>349</v>
      </c>
      <c r="F540" s="1313" t="s">
        <v>429</v>
      </c>
      <c r="G540" s="1349">
        <v>9.3490000000000004E-2</v>
      </c>
      <c r="H540" s="222">
        <f t="shared" si="193"/>
        <v>362</v>
      </c>
      <c r="I540" s="1354">
        <v>362</v>
      </c>
      <c r="J540" s="1354"/>
      <c r="K540" s="1354"/>
      <c r="L540" s="1347" t="s">
        <v>349</v>
      </c>
      <c r="M540" s="223">
        <f t="shared" si="230"/>
        <v>33.843380000000003</v>
      </c>
      <c r="N540" s="224">
        <f t="shared" si="231"/>
        <v>33.843380000000003</v>
      </c>
      <c r="O540" s="224">
        <f t="shared" si="232"/>
        <v>0</v>
      </c>
      <c r="P540" s="224">
        <f t="shared" si="233"/>
        <v>0</v>
      </c>
      <c r="Q540" s="205"/>
    </row>
    <row r="541" spans="1:17" hidden="1" outlineLevel="1">
      <c r="A541" s="211" t="s">
        <v>818</v>
      </c>
      <c r="B541" s="1346" t="s">
        <v>418</v>
      </c>
      <c r="C541" s="1332">
        <v>1138</v>
      </c>
      <c r="D541" s="1313" t="s">
        <v>432</v>
      </c>
      <c r="E541" s="1347" t="s">
        <v>349</v>
      </c>
      <c r="F541" s="1313" t="s">
        <v>430</v>
      </c>
      <c r="G541" s="1349">
        <v>9.9339999999999998E-2</v>
      </c>
      <c r="H541" s="222">
        <f t="shared" si="193"/>
        <v>8790</v>
      </c>
      <c r="I541" s="1354">
        <v>8790</v>
      </c>
      <c r="J541" s="1354"/>
      <c r="K541" s="1354"/>
      <c r="L541" s="1347" t="s">
        <v>349</v>
      </c>
      <c r="M541" s="223">
        <f t="shared" si="230"/>
        <v>873.19859999999994</v>
      </c>
      <c r="N541" s="224">
        <f t="shared" si="231"/>
        <v>873.19859999999994</v>
      </c>
      <c r="O541" s="224">
        <f t="shared" si="232"/>
        <v>0</v>
      </c>
      <c r="P541" s="224">
        <f t="shared" si="233"/>
        <v>0</v>
      </c>
      <c r="Q541" s="205"/>
    </row>
    <row r="542" spans="1:17" hidden="1" outlineLevel="1">
      <c r="A542" s="211" t="s">
        <v>818</v>
      </c>
      <c r="B542" s="1346" t="s">
        <v>419</v>
      </c>
      <c r="C542" s="1332">
        <v>1010</v>
      </c>
      <c r="D542" s="1313" t="s">
        <v>432</v>
      </c>
      <c r="E542" s="1347" t="s">
        <v>349</v>
      </c>
      <c r="F542" s="1313" t="s">
        <v>430</v>
      </c>
      <c r="G542" s="1349">
        <v>9.9339999999999998E-2</v>
      </c>
      <c r="H542" s="222">
        <f t="shared" si="193"/>
        <v>165</v>
      </c>
      <c r="I542" s="1354">
        <v>165</v>
      </c>
      <c r="J542" s="1354"/>
      <c r="K542" s="1354"/>
      <c r="L542" s="1347" t="s">
        <v>349</v>
      </c>
      <c r="M542" s="223">
        <f t="shared" si="206"/>
        <v>16.391099999999998</v>
      </c>
      <c r="N542" s="224">
        <f t="shared" si="195"/>
        <v>16.391099999999998</v>
      </c>
      <c r="O542" s="224">
        <f t="shared" si="196"/>
        <v>0</v>
      </c>
      <c r="P542" s="224">
        <f t="shared" si="197"/>
        <v>0</v>
      </c>
      <c r="Q542" s="205"/>
    </row>
    <row r="543" spans="1:17" hidden="1" outlineLevel="1">
      <c r="A543" s="211" t="s">
        <v>818</v>
      </c>
      <c r="B543" s="1346" t="s">
        <v>420</v>
      </c>
      <c r="C543" s="1332">
        <v>16476</v>
      </c>
      <c r="D543" s="1313" t="s">
        <v>432</v>
      </c>
      <c r="E543" s="1347" t="s">
        <v>349</v>
      </c>
      <c r="F543" s="1313" t="s">
        <v>430</v>
      </c>
      <c r="G543" s="1349">
        <v>9.9339999999999998E-2</v>
      </c>
      <c r="H543" s="222">
        <f t="shared" si="193"/>
        <v>955</v>
      </c>
      <c r="I543" s="1354">
        <v>955</v>
      </c>
      <c r="J543" s="1354"/>
      <c r="K543" s="1354"/>
      <c r="L543" s="1347" t="s">
        <v>349</v>
      </c>
      <c r="M543" s="223">
        <f t="shared" si="206"/>
        <v>94.869699999999995</v>
      </c>
      <c r="N543" s="224">
        <f t="shared" si="195"/>
        <v>94.869699999999995</v>
      </c>
      <c r="O543" s="224">
        <f t="shared" si="196"/>
        <v>0</v>
      </c>
      <c r="P543" s="224">
        <f t="shared" si="197"/>
        <v>0</v>
      </c>
      <c r="Q543" s="205"/>
    </row>
    <row r="544" spans="1:17" hidden="1" outlineLevel="1">
      <c r="A544" s="211" t="s">
        <v>818</v>
      </c>
      <c r="B544" s="1346" t="s">
        <v>602</v>
      </c>
      <c r="C544" s="1332">
        <v>965</v>
      </c>
      <c r="D544" s="1313" t="s">
        <v>432</v>
      </c>
      <c r="E544" s="1347" t="s">
        <v>349</v>
      </c>
      <c r="F544" s="1313" t="s">
        <v>429</v>
      </c>
      <c r="G544" s="1349">
        <v>9.3490000000000004E-2</v>
      </c>
      <c r="H544" s="222">
        <f t="shared" si="193"/>
        <v>1586</v>
      </c>
      <c r="I544" s="1354">
        <v>1586</v>
      </c>
      <c r="J544" s="1354"/>
      <c r="K544" s="1354"/>
      <c r="L544" s="1347" t="s">
        <v>349</v>
      </c>
      <c r="M544" s="223">
        <f t="shared" si="206"/>
        <v>148.27513999999999</v>
      </c>
      <c r="N544" s="224">
        <f t="shared" si="195"/>
        <v>148.27513999999999</v>
      </c>
      <c r="O544" s="224">
        <f t="shared" si="196"/>
        <v>0</v>
      </c>
      <c r="P544" s="224">
        <f t="shared" si="197"/>
        <v>0</v>
      </c>
      <c r="Q544" s="205"/>
    </row>
    <row r="545" spans="1:18" hidden="1" outlineLevel="1">
      <c r="A545" s="211" t="s">
        <v>818</v>
      </c>
      <c r="B545" s="1346" t="s">
        <v>603</v>
      </c>
      <c r="C545" s="1332">
        <v>968</v>
      </c>
      <c r="D545" s="1313" t="s">
        <v>432</v>
      </c>
      <c r="E545" s="1347" t="s">
        <v>349</v>
      </c>
      <c r="F545" s="1313" t="s">
        <v>429</v>
      </c>
      <c r="G545" s="1349">
        <v>9.3490000000000004E-2</v>
      </c>
      <c r="H545" s="222">
        <f t="shared" si="193"/>
        <v>1718</v>
      </c>
      <c r="I545" s="1354">
        <v>1718</v>
      </c>
      <c r="J545" s="1354"/>
      <c r="K545" s="1354"/>
      <c r="L545" s="1347" t="s">
        <v>349</v>
      </c>
      <c r="M545" s="223">
        <f t="shared" si="206"/>
        <v>160.61582000000001</v>
      </c>
      <c r="N545" s="224">
        <f t="shared" si="195"/>
        <v>160.61582000000001</v>
      </c>
      <c r="O545" s="224">
        <f t="shared" si="196"/>
        <v>0</v>
      </c>
      <c r="P545" s="224">
        <f t="shared" si="197"/>
        <v>0</v>
      </c>
      <c r="Q545" s="205"/>
    </row>
    <row r="546" spans="1:18" hidden="1" outlineLevel="1">
      <c r="A546" s="211" t="s">
        <v>818</v>
      </c>
      <c r="B546" s="1346" t="s">
        <v>421</v>
      </c>
      <c r="C546" s="1332">
        <v>964</v>
      </c>
      <c r="D546" s="1313" t="s">
        <v>432</v>
      </c>
      <c r="E546" s="1347" t="s">
        <v>349</v>
      </c>
      <c r="F546" s="1313" t="s">
        <v>429</v>
      </c>
      <c r="G546" s="1349">
        <v>9.3490000000000004E-2</v>
      </c>
      <c r="H546" s="222">
        <f t="shared" si="193"/>
        <v>114</v>
      </c>
      <c r="I546" s="1354">
        <v>114</v>
      </c>
      <c r="J546" s="1354"/>
      <c r="K546" s="1354"/>
      <c r="L546" s="1347" t="s">
        <v>349</v>
      </c>
      <c r="M546" s="223">
        <f t="shared" si="206"/>
        <v>10.657860000000001</v>
      </c>
      <c r="N546" s="224">
        <f t="shared" si="195"/>
        <v>10.657860000000001</v>
      </c>
      <c r="O546" s="224">
        <f t="shared" si="196"/>
        <v>0</v>
      </c>
      <c r="P546" s="224">
        <f t="shared" si="197"/>
        <v>0</v>
      </c>
      <c r="Q546" s="205"/>
    </row>
    <row r="547" spans="1:18" hidden="1" outlineLevel="1">
      <c r="A547" s="211" t="s">
        <v>818</v>
      </c>
      <c r="B547" s="1346" t="s">
        <v>422</v>
      </c>
      <c r="C547" s="1332">
        <v>16477</v>
      </c>
      <c r="D547" s="1313" t="s">
        <v>432</v>
      </c>
      <c r="E547" s="1347" t="s">
        <v>349</v>
      </c>
      <c r="F547" s="1313" t="s">
        <v>430</v>
      </c>
      <c r="G547" s="1349">
        <v>9.9339999999999998E-2</v>
      </c>
      <c r="H547" s="222">
        <f t="shared" si="193"/>
        <v>68</v>
      </c>
      <c r="I547" s="1354">
        <v>68</v>
      </c>
      <c r="J547" s="1354"/>
      <c r="K547" s="1354"/>
      <c r="L547" s="1347" t="s">
        <v>349</v>
      </c>
      <c r="M547" s="223">
        <f t="shared" si="206"/>
        <v>6.7551199999999998</v>
      </c>
      <c r="N547" s="224">
        <f t="shared" si="195"/>
        <v>6.7551199999999998</v>
      </c>
      <c r="O547" s="224">
        <f t="shared" si="196"/>
        <v>0</v>
      </c>
      <c r="P547" s="224">
        <f t="shared" si="197"/>
        <v>0</v>
      </c>
      <c r="Q547" s="205"/>
    </row>
    <row r="548" spans="1:18" hidden="1" outlineLevel="1">
      <c r="A548" s="211" t="s">
        <v>818</v>
      </c>
      <c r="B548" s="1346" t="s">
        <v>423</v>
      </c>
      <c r="C548" s="1332">
        <v>703</v>
      </c>
      <c r="D548" s="1313" t="s">
        <v>432</v>
      </c>
      <c r="E548" s="1347" t="s">
        <v>349</v>
      </c>
      <c r="F548" s="1313" t="s">
        <v>430</v>
      </c>
      <c r="G548" s="1349">
        <v>9.9339999999999998E-2</v>
      </c>
      <c r="H548" s="222">
        <f t="shared" si="193"/>
        <v>1819</v>
      </c>
      <c r="I548" s="1354">
        <v>1819</v>
      </c>
      <c r="J548" s="1354"/>
      <c r="K548" s="1354"/>
      <c r="L548" s="1347" t="s">
        <v>349</v>
      </c>
      <c r="M548" s="223">
        <f t="shared" si="206"/>
        <v>180.69945999999999</v>
      </c>
      <c r="N548" s="224">
        <f t="shared" si="195"/>
        <v>180.69945999999999</v>
      </c>
      <c r="O548" s="224">
        <f t="shared" si="196"/>
        <v>0</v>
      </c>
      <c r="P548" s="224">
        <f t="shared" si="197"/>
        <v>0</v>
      </c>
      <c r="Q548" s="205"/>
    </row>
    <row r="549" spans="1:18" hidden="1" outlineLevel="1">
      <c r="A549" s="211" t="s">
        <v>818</v>
      </c>
      <c r="B549" s="1346" t="s">
        <v>617</v>
      </c>
      <c r="C549" s="1332">
        <v>707</v>
      </c>
      <c r="D549" s="1313" t="s">
        <v>432</v>
      </c>
      <c r="E549" s="1347" t="s">
        <v>349</v>
      </c>
      <c r="F549" s="1313" t="s">
        <v>430</v>
      </c>
      <c r="G549" s="1349">
        <v>9.9339999999999998E-2</v>
      </c>
      <c r="H549" s="222">
        <f t="shared" si="193"/>
        <v>11840</v>
      </c>
      <c r="I549" s="1354">
        <v>11840</v>
      </c>
      <c r="J549" s="1354"/>
      <c r="K549" s="1354"/>
      <c r="L549" s="1347" t="s">
        <v>349</v>
      </c>
      <c r="M549" s="223">
        <f t="shared" si="206"/>
        <v>1176.1856</v>
      </c>
      <c r="N549" s="224">
        <f t="shared" si="195"/>
        <v>1176.1856</v>
      </c>
      <c r="O549" s="224">
        <f t="shared" si="196"/>
        <v>0</v>
      </c>
      <c r="P549" s="224">
        <f t="shared" si="197"/>
        <v>0</v>
      </c>
      <c r="Q549" s="205"/>
    </row>
    <row r="550" spans="1:18" hidden="1" outlineLevel="1">
      <c r="A550" s="211" t="s">
        <v>818</v>
      </c>
      <c r="B550" s="1346" t="s">
        <v>466</v>
      </c>
      <c r="C550" s="1332">
        <v>15025</v>
      </c>
      <c r="D550" s="1313" t="s">
        <v>432</v>
      </c>
      <c r="E550" s="1347" t="s">
        <v>349</v>
      </c>
      <c r="F550" s="1313" t="s">
        <v>430</v>
      </c>
      <c r="G550" s="1349">
        <v>9.9339999999999998E-2</v>
      </c>
      <c r="H550" s="222">
        <f t="shared" si="193"/>
        <v>1465</v>
      </c>
      <c r="I550" s="1354">
        <v>1465</v>
      </c>
      <c r="J550" s="1354"/>
      <c r="K550" s="1354"/>
      <c r="L550" s="1347" t="s">
        <v>349</v>
      </c>
      <c r="M550" s="223">
        <f t="shared" si="206"/>
        <v>145.53309999999999</v>
      </c>
      <c r="N550" s="224">
        <f t="shared" si="195"/>
        <v>145.53309999999999</v>
      </c>
      <c r="O550" s="224">
        <f t="shared" si="196"/>
        <v>0</v>
      </c>
      <c r="P550" s="224">
        <f t="shared" si="197"/>
        <v>0</v>
      </c>
      <c r="Q550" s="205"/>
    </row>
    <row r="551" spans="1:18" hidden="1" outlineLevel="1">
      <c r="A551" s="211" t="s">
        <v>818</v>
      </c>
      <c r="B551" s="1346" t="s">
        <v>659</v>
      </c>
      <c r="C551" s="1332">
        <v>51778</v>
      </c>
      <c r="D551" s="1313" t="s">
        <v>432</v>
      </c>
      <c r="E551" s="1347" t="s">
        <v>349</v>
      </c>
      <c r="F551" s="1313" t="s">
        <v>430</v>
      </c>
      <c r="G551" s="1349">
        <v>9.9339999999999998E-2</v>
      </c>
      <c r="H551" s="222">
        <f t="shared" si="193"/>
        <v>791</v>
      </c>
      <c r="I551" s="1354">
        <v>791</v>
      </c>
      <c r="J551" s="1354"/>
      <c r="K551" s="1354"/>
      <c r="L551" s="1347" t="s">
        <v>349</v>
      </c>
      <c r="M551" s="223">
        <f t="shared" si="206"/>
        <v>78.577939999999998</v>
      </c>
      <c r="N551" s="224">
        <f t="shared" si="195"/>
        <v>78.577939999999998</v>
      </c>
      <c r="O551" s="224">
        <f t="shared" si="196"/>
        <v>0</v>
      </c>
      <c r="P551" s="224">
        <f t="shared" si="197"/>
        <v>0</v>
      </c>
      <c r="Q551" s="205"/>
    </row>
    <row r="552" spans="1:18" hidden="1" outlineLevel="1">
      <c r="A552" s="225" t="s">
        <v>818</v>
      </c>
      <c r="B552" s="1350" t="s">
        <v>461</v>
      </c>
      <c r="C552" s="1336">
        <v>60447</v>
      </c>
      <c r="D552" s="1321" t="s">
        <v>432</v>
      </c>
      <c r="E552" s="1351" t="s">
        <v>349</v>
      </c>
      <c r="F552" s="1321" t="s">
        <v>430</v>
      </c>
      <c r="G552" s="1352">
        <v>9.9339999999999998E-2</v>
      </c>
      <c r="H552" s="226">
        <f t="shared" si="193"/>
        <v>40145</v>
      </c>
      <c r="I552" s="1355">
        <v>40145</v>
      </c>
      <c r="J552" s="1355"/>
      <c r="K552" s="1355"/>
      <c r="L552" s="1351" t="s">
        <v>349</v>
      </c>
      <c r="M552" s="227">
        <f t="shared" si="206"/>
        <v>3988.0043000000001</v>
      </c>
      <c r="N552" s="228">
        <f t="shared" si="195"/>
        <v>3988.0043000000001</v>
      </c>
      <c r="O552" s="228">
        <f t="shared" si="196"/>
        <v>0</v>
      </c>
      <c r="P552" s="228">
        <f t="shared" si="197"/>
        <v>0</v>
      </c>
      <c r="Q552" s="230"/>
      <c r="R552" s="512">
        <f>SUM(M521:M552)</f>
        <v>13639.965849</v>
      </c>
    </row>
    <row r="553" spans="1:18" hidden="1" outlineLevel="1">
      <c r="A553" s="211" t="s">
        <v>818</v>
      </c>
      <c r="B553" s="1356" t="s">
        <v>408</v>
      </c>
      <c r="C553" s="1334">
        <v>841</v>
      </c>
      <c r="D553" s="1317" t="s">
        <v>433</v>
      </c>
      <c r="E553" s="1357" t="s">
        <v>349</v>
      </c>
      <c r="F553" s="1317" t="s">
        <v>429</v>
      </c>
      <c r="G553" s="1348">
        <v>9.3490000000000004E-2</v>
      </c>
      <c r="H553" s="222">
        <f t="shared" si="193"/>
        <v>278</v>
      </c>
      <c r="I553" s="1358">
        <v>278</v>
      </c>
      <c r="J553" s="1358"/>
      <c r="K553" s="1358"/>
      <c r="L553" s="1357" t="s">
        <v>349</v>
      </c>
      <c r="M553" s="223">
        <f t="shared" ref="M553:M554" si="234">SUM(N553:P553)</f>
        <v>25.990220000000001</v>
      </c>
      <c r="N553" s="224">
        <f t="shared" ref="N553:N554" si="235">G553*I553</f>
        <v>25.990220000000001</v>
      </c>
      <c r="O553" s="224">
        <f t="shared" ref="O553:O554" si="236">G553*J553*5</f>
        <v>0</v>
      </c>
      <c r="P553" s="224">
        <f t="shared" ref="P553:P554" si="237">G553*K553*5</f>
        <v>0</v>
      </c>
      <c r="Q553" s="205"/>
    </row>
    <row r="554" spans="1:18" hidden="1" outlineLevel="1">
      <c r="A554" s="211" t="s">
        <v>818</v>
      </c>
      <c r="B554" s="1356" t="s">
        <v>409</v>
      </c>
      <c r="C554" s="1334">
        <v>21717</v>
      </c>
      <c r="D554" s="1317" t="s">
        <v>433</v>
      </c>
      <c r="E554" s="1357" t="s">
        <v>349</v>
      </c>
      <c r="F554" s="1317" t="s">
        <v>429</v>
      </c>
      <c r="G554" s="1348">
        <v>9.3490000000000004E-2</v>
      </c>
      <c r="H554" s="222">
        <f t="shared" si="193"/>
        <v>921</v>
      </c>
      <c r="I554" s="1358">
        <v>921</v>
      </c>
      <c r="J554" s="1358"/>
      <c r="K554" s="1358"/>
      <c r="L554" s="1357" t="s">
        <v>349</v>
      </c>
      <c r="M554" s="223">
        <f t="shared" si="234"/>
        <v>86.104290000000006</v>
      </c>
      <c r="N554" s="224">
        <f t="shared" si="235"/>
        <v>86.104290000000006</v>
      </c>
      <c r="O554" s="224">
        <f t="shared" si="236"/>
        <v>0</v>
      </c>
      <c r="P554" s="224">
        <f t="shared" si="237"/>
        <v>0</v>
      </c>
      <c r="Q554" s="292"/>
    </row>
    <row r="555" spans="1:18" hidden="1" outlineLevel="1">
      <c r="A555" s="211" t="s">
        <v>818</v>
      </c>
      <c r="B555" s="1346" t="s">
        <v>410</v>
      </c>
      <c r="C555" s="1332">
        <v>749</v>
      </c>
      <c r="D555" s="1313" t="s">
        <v>433</v>
      </c>
      <c r="E555" s="1347" t="s">
        <v>349</v>
      </c>
      <c r="F555" s="1313" t="s">
        <v>430</v>
      </c>
      <c r="G555" s="1349">
        <v>9.9339999999999998E-2</v>
      </c>
      <c r="H555" s="222">
        <f t="shared" si="193"/>
        <v>8915</v>
      </c>
      <c r="I555" s="1354">
        <v>8915</v>
      </c>
      <c r="J555" s="1354"/>
      <c r="K555" s="1354"/>
      <c r="L555" s="1347" t="s">
        <v>349</v>
      </c>
      <c r="M555" s="223">
        <f t="shared" si="206"/>
        <v>885.61609999999996</v>
      </c>
      <c r="N555" s="224">
        <f t="shared" si="195"/>
        <v>885.61609999999996</v>
      </c>
      <c r="O555" s="224">
        <f t="shared" si="196"/>
        <v>0</v>
      </c>
      <c r="P555" s="224">
        <f t="shared" si="197"/>
        <v>0</v>
      </c>
      <c r="Q555" s="292"/>
    </row>
    <row r="556" spans="1:18" hidden="1" outlineLevel="1">
      <c r="A556" s="211" t="s">
        <v>818</v>
      </c>
      <c r="B556" s="1346" t="s">
        <v>411</v>
      </c>
      <c r="C556" s="1332">
        <v>20044</v>
      </c>
      <c r="D556" s="1313" t="s">
        <v>433</v>
      </c>
      <c r="E556" s="1347" t="s">
        <v>349</v>
      </c>
      <c r="F556" s="1313" t="s">
        <v>430</v>
      </c>
      <c r="G556" s="1349">
        <v>9.9339999999999998E-2</v>
      </c>
      <c r="H556" s="222">
        <f t="shared" si="193"/>
        <v>1390</v>
      </c>
      <c r="I556" s="1354">
        <v>1390</v>
      </c>
      <c r="J556" s="1354"/>
      <c r="K556" s="1354"/>
      <c r="L556" s="1347" t="s">
        <v>349</v>
      </c>
      <c r="M556" s="223">
        <f t="shared" si="206"/>
        <v>138.08259999999999</v>
      </c>
      <c r="N556" s="224">
        <f t="shared" si="195"/>
        <v>138.08259999999999</v>
      </c>
      <c r="O556" s="224">
        <f t="shared" si="196"/>
        <v>0</v>
      </c>
      <c r="P556" s="224">
        <f t="shared" si="197"/>
        <v>0</v>
      </c>
      <c r="Q556" s="292"/>
    </row>
    <row r="557" spans="1:18" hidden="1" outlineLevel="1">
      <c r="A557" s="211" t="s">
        <v>818</v>
      </c>
      <c r="B557" s="1346" t="s">
        <v>412</v>
      </c>
      <c r="C557" s="1332">
        <v>15141</v>
      </c>
      <c r="D557" s="1313" t="s">
        <v>433</v>
      </c>
      <c r="E557" s="1347" t="s">
        <v>349</v>
      </c>
      <c r="F557" s="1313" t="s">
        <v>429</v>
      </c>
      <c r="G557" s="1348">
        <v>9.3490000000000004E-2</v>
      </c>
      <c r="H557" s="222">
        <f t="shared" ref="H557:H583" si="238">SUM(I557:K557)</f>
        <v>9</v>
      </c>
      <c r="I557" s="1354">
        <v>9</v>
      </c>
      <c r="J557" s="1354"/>
      <c r="K557" s="1354"/>
      <c r="L557" s="1347" t="s">
        <v>349</v>
      </c>
      <c r="M557" s="223">
        <f t="shared" si="206"/>
        <v>0.84140999999999999</v>
      </c>
      <c r="N557" s="224">
        <f t="shared" ref="N557:N583" si="239">G557*I557</f>
        <v>0.84140999999999999</v>
      </c>
      <c r="O557" s="224">
        <f t="shared" ref="O557:O583" si="240">G557*J557*5</f>
        <v>0</v>
      </c>
      <c r="P557" s="224">
        <f t="shared" ref="P557:P583" si="241">G557*K557*5</f>
        <v>0</v>
      </c>
      <c r="Q557" s="292"/>
    </row>
    <row r="558" spans="1:18" hidden="1" outlineLevel="1">
      <c r="A558" s="211" t="s">
        <v>818</v>
      </c>
      <c r="B558" s="1346" t="s">
        <v>413</v>
      </c>
      <c r="C558" s="1332">
        <v>16904</v>
      </c>
      <c r="D558" s="1313" t="s">
        <v>433</v>
      </c>
      <c r="E558" s="1347" t="s">
        <v>349</v>
      </c>
      <c r="F558" s="1313" t="s">
        <v>430</v>
      </c>
      <c r="G558" s="1349">
        <v>9.9339999999999998E-2</v>
      </c>
      <c r="H558" s="222">
        <f t="shared" ref="H558:H571" si="242">SUM(I558:K558)</f>
        <v>1968</v>
      </c>
      <c r="I558" s="1354">
        <v>1968</v>
      </c>
      <c r="J558" s="1354"/>
      <c r="K558" s="1354"/>
      <c r="L558" s="1347" t="s">
        <v>349</v>
      </c>
      <c r="M558" s="223">
        <f t="shared" ref="M558:M571" si="243">SUM(N558:P558)</f>
        <v>195.50111999999999</v>
      </c>
      <c r="N558" s="224">
        <f t="shared" ref="N558:N571" si="244">G558*I558</f>
        <v>195.50111999999999</v>
      </c>
      <c r="O558" s="224">
        <f t="shared" ref="O558:O571" si="245">G558*J558*5</f>
        <v>0</v>
      </c>
      <c r="P558" s="224">
        <f t="shared" ref="P558:P571" si="246">G558*K558*5</f>
        <v>0</v>
      </c>
      <c r="Q558" s="292"/>
    </row>
    <row r="559" spans="1:18" hidden="1" outlineLevel="1">
      <c r="A559" s="211" t="s">
        <v>818</v>
      </c>
      <c r="B559" s="1346" t="s">
        <v>606</v>
      </c>
      <c r="C559" s="1332">
        <v>892</v>
      </c>
      <c r="D559" s="1313" t="s">
        <v>433</v>
      </c>
      <c r="E559" s="1347" t="s">
        <v>349</v>
      </c>
      <c r="F559" s="1313" t="s">
        <v>429</v>
      </c>
      <c r="G559" s="1348">
        <v>9.3490000000000004E-2</v>
      </c>
      <c r="H559" s="222">
        <f t="shared" si="242"/>
        <v>6105</v>
      </c>
      <c r="I559" s="1354">
        <v>6105</v>
      </c>
      <c r="J559" s="1354"/>
      <c r="K559" s="1354"/>
      <c r="L559" s="1347" t="s">
        <v>349</v>
      </c>
      <c r="M559" s="223">
        <f t="shared" si="243"/>
        <v>570.75644999999997</v>
      </c>
      <c r="N559" s="224">
        <f t="shared" si="244"/>
        <v>570.75644999999997</v>
      </c>
      <c r="O559" s="224">
        <f t="shared" si="245"/>
        <v>0</v>
      </c>
      <c r="P559" s="224">
        <f t="shared" si="246"/>
        <v>0</v>
      </c>
      <c r="Q559" s="292"/>
    </row>
    <row r="560" spans="1:18" hidden="1" outlineLevel="1">
      <c r="A560" s="211" t="s">
        <v>818</v>
      </c>
      <c r="B560" s="1346" t="s">
        <v>595</v>
      </c>
      <c r="C560" s="1332">
        <v>891</v>
      </c>
      <c r="D560" s="1313" t="s">
        <v>433</v>
      </c>
      <c r="E560" s="1347" t="s">
        <v>349</v>
      </c>
      <c r="F560" s="1313" t="s">
        <v>429</v>
      </c>
      <c r="G560" s="1348">
        <v>9.3490000000000004E-2</v>
      </c>
      <c r="H560" s="222">
        <f t="shared" si="242"/>
        <v>1821</v>
      </c>
      <c r="I560" s="1354">
        <v>1821</v>
      </c>
      <c r="J560" s="1354"/>
      <c r="K560" s="1354"/>
      <c r="L560" s="1347" t="s">
        <v>349</v>
      </c>
      <c r="M560" s="223">
        <f t="shared" si="243"/>
        <v>170.24529000000001</v>
      </c>
      <c r="N560" s="224">
        <f t="shared" si="244"/>
        <v>170.24529000000001</v>
      </c>
      <c r="O560" s="224">
        <f t="shared" si="245"/>
        <v>0</v>
      </c>
      <c r="P560" s="224">
        <f t="shared" si="246"/>
        <v>0</v>
      </c>
      <c r="Q560" s="292"/>
    </row>
    <row r="561" spans="1:17" hidden="1" outlineLevel="1">
      <c r="A561" s="211" t="s">
        <v>818</v>
      </c>
      <c r="B561" s="1346" t="s">
        <v>414</v>
      </c>
      <c r="C561" s="1332">
        <v>16757</v>
      </c>
      <c r="D561" s="1313" t="s">
        <v>433</v>
      </c>
      <c r="E561" s="1347" t="s">
        <v>349</v>
      </c>
      <c r="F561" s="1313" t="s">
        <v>429</v>
      </c>
      <c r="G561" s="1348">
        <v>9.3490000000000004E-2</v>
      </c>
      <c r="H561" s="222">
        <f t="shared" si="242"/>
        <v>1091</v>
      </c>
      <c r="I561" s="1354">
        <v>1091</v>
      </c>
      <c r="J561" s="1354"/>
      <c r="K561" s="1354"/>
      <c r="L561" s="1347" t="s">
        <v>349</v>
      </c>
      <c r="M561" s="223">
        <f t="shared" si="243"/>
        <v>101.99759</v>
      </c>
      <c r="N561" s="224">
        <f t="shared" si="244"/>
        <v>101.99759</v>
      </c>
      <c r="O561" s="224">
        <f t="shared" si="245"/>
        <v>0</v>
      </c>
      <c r="P561" s="224">
        <f t="shared" si="246"/>
        <v>0</v>
      </c>
      <c r="Q561" s="292"/>
    </row>
    <row r="562" spans="1:17" hidden="1" outlineLevel="1">
      <c r="A562" s="211" t="s">
        <v>818</v>
      </c>
      <c r="B562" s="1346" t="s">
        <v>596</v>
      </c>
      <c r="C562" s="1332">
        <v>878</v>
      </c>
      <c r="D562" s="1313" t="s">
        <v>433</v>
      </c>
      <c r="E562" s="1347" t="s">
        <v>349</v>
      </c>
      <c r="F562" s="1313" t="s">
        <v>429</v>
      </c>
      <c r="G562" s="1348">
        <v>9.3490000000000004E-2</v>
      </c>
      <c r="H562" s="222">
        <f t="shared" si="242"/>
        <v>3622</v>
      </c>
      <c r="I562" s="1354">
        <v>3622</v>
      </c>
      <c r="J562" s="1354"/>
      <c r="K562" s="1354"/>
      <c r="L562" s="1347" t="s">
        <v>349</v>
      </c>
      <c r="M562" s="223">
        <f t="shared" si="243"/>
        <v>338.62078000000002</v>
      </c>
      <c r="N562" s="224">
        <f t="shared" si="244"/>
        <v>338.62078000000002</v>
      </c>
      <c r="O562" s="224">
        <f t="shared" si="245"/>
        <v>0</v>
      </c>
      <c r="P562" s="224">
        <f t="shared" si="246"/>
        <v>0</v>
      </c>
      <c r="Q562" s="292"/>
    </row>
    <row r="563" spans="1:17" hidden="1" outlineLevel="1">
      <c r="A563" s="211" t="s">
        <v>818</v>
      </c>
      <c r="B563" s="1346" t="s">
        <v>597</v>
      </c>
      <c r="C563" s="1332">
        <v>879</v>
      </c>
      <c r="D563" s="1313" t="s">
        <v>433</v>
      </c>
      <c r="E563" s="1347" t="s">
        <v>349</v>
      </c>
      <c r="F563" s="1313" t="s">
        <v>429</v>
      </c>
      <c r="G563" s="1348">
        <v>9.3490000000000004E-2</v>
      </c>
      <c r="H563" s="222">
        <f t="shared" si="242"/>
        <v>4207</v>
      </c>
      <c r="I563" s="1354">
        <v>4207</v>
      </c>
      <c r="J563" s="1354"/>
      <c r="K563" s="1354"/>
      <c r="L563" s="1347" t="s">
        <v>349</v>
      </c>
      <c r="M563" s="223">
        <f t="shared" si="243"/>
        <v>393.31243000000001</v>
      </c>
      <c r="N563" s="224">
        <f t="shared" si="244"/>
        <v>393.31243000000001</v>
      </c>
      <c r="O563" s="224">
        <f t="shared" si="245"/>
        <v>0</v>
      </c>
      <c r="P563" s="224">
        <f t="shared" si="246"/>
        <v>0</v>
      </c>
      <c r="Q563" s="292"/>
    </row>
    <row r="564" spans="1:17" hidden="1" outlineLevel="1">
      <c r="A564" s="211" t="s">
        <v>818</v>
      </c>
      <c r="B564" s="1346" t="s">
        <v>598</v>
      </c>
      <c r="C564" s="1332">
        <v>880</v>
      </c>
      <c r="D564" s="1313" t="s">
        <v>433</v>
      </c>
      <c r="E564" s="1347" t="s">
        <v>349</v>
      </c>
      <c r="F564" s="1313" t="s">
        <v>429</v>
      </c>
      <c r="G564" s="1348">
        <v>9.3490000000000004E-2</v>
      </c>
      <c r="H564" s="222">
        <f t="shared" si="242"/>
        <v>3584</v>
      </c>
      <c r="I564" s="1354">
        <v>3584</v>
      </c>
      <c r="J564" s="1354"/>
      <c r="K564" s="1354"/>
      <c r="L564" s="1347" t="s">
        <v>349</v>
      </c>
      <c r="M564" s="223">
        <f t="shared" si="243"/>
        <v>335.06816000000003</v>
      </c>
      <c r="N564" s="224">
        <f t="shared" si="244"/>
        <v>335.06816000000003</v>
      </c>
      <c r="O564" s="224">
        <f t="shared" si="245"/>
        <v>0</v>
      </c>
      <c r="P564" s="224">
        <f t="shared" si="246"/>
        <v>0</v>
      </c>
      <c r="Q564" s="292"/>
    </row>
    <row r="565" spans="1:17" hidden="1" outlineLevel="1">
      <c r="A565" s="211" t="s">
        <v>818</v>
      </c>
      <c r="B565" s="1346" t="s">
        <v>618</v>
      </c>
      <c r="C565" s="1332">
        <v>4650</v>
      </c>
      <c r="D565" s="1313" t="s">
        <v>433</v>
      </c>
      <c r="E565" s="1347" t="s">
        <v>349</v>
      </c>
      <c r="F565" s="1313" t="s">
        <v>429</v>
      </c>
      <c r="G565" s="1348">
        <v>9.3490000000000004E-2</v>
      </c>
      <c r="H565" s="222">
        <f t="shared" si="242"/>
        <v>0</v>
      </c>
      <c r="I565" s="1354">
        <v>0</v>
      </c>
      <c r="J565" s="1354"/>
      <c r="K565" s="1354"/>
      <c r="L565" s="1347" t="s">
        <v>349</v>
      </c>
      <c r="M565" s="223">
        <f t="shared" si="243"/>
        <v>0</v>
      </c>
      <c r="N565" s="224">
        <f t="shared" si="244"/>
        <v>0</v>
      </c>
      <c r="O565" s="224">
        <f t="shared" si="245"/>
        <v>0</v>
      </c>
      <c r="P565" s="224">
        <f t="shared" si="246"/>
        <v>0</v>
      </c>
      <c r="Q565" s="292"/>
    </row>
    <row r="566" spans="1:17" hidden="1" outlineLevel="1">
      <c r="A566" s="211" t="s">
        <v>818</v>
      </c>
      <c r="B566" s="1346" t="s">
        <v>1303</v>
      </c>
      <c r="C566" s="1332">
        <v>14114</v>
      </c>
      <c r="D566" s="1313" t="s">
        <v>433</v>
      </c>
      <c r="E566" s="1347" t="s">
        <v>349</v>
      </c>
      <c r="F566" s="1313" t="s">
        <v>430</v>
      </c>
      <c r="G566" s="1349">
        <v>0.18054899999999999</v>
      </c>
      <c r="H566" s="222">
        <f t="shared" si="242"/>
        <v>6861</v>
      </c>
      <c r="I566" s="1354">
        <v>6861</v>
      </c>
      <c r="J566" s="1354"/>
      <c r="K566" s="1354"/>
      <c r="L566" s="1347" t="s">
        <v>349</v>
      </c>
      <c r="M566" s="223">
        <f t="shared" si="243"/>
        <v>1238.7466889999998</v>
      </c>
      <c r="N566" s="224">
        <f t="shared" si="244"/>
        <v>1238.7466889999998</v>
      </c>
      <c r="O566" s="224">
        <f t="shared" si="245"/>
        <v>0</v>
      </c>
      <c r="P566" s="224">
        <f t="shared" si="246"/>
        <v>0</v>
      </c>
      <c r="Q566" s="292"/>
    </row>
    <row r="567" spans="1:17" hidden="1" outlineLevel="1">
      <c r="A567" s="211" t="s">
        <v>818</v>
      </c>
      <c r="B567" s="1346" t="s">
        <v>1303</v>
      </c>
      <c r="C567" s="1332">
        <v>14114</v>
      </c>
      <c r="D567" s="1313" t="s">
        <v>433</v>
      </c>
      <c r="E567" s="1347" t="s">
        <v>349</v>
      </c>
      <c r="F567" s="1313" t="s">
        <v>430</v>
      </c>
      <c r="G567" s="1349">
        <v>9.9339999999999998E-2</v>
      </c>
      <c r="H567" s="222">
        <f t="shared" si="242"/>
        <v>19384</v>
      </c>
      <c r="I567" s="1354">
        <v>19384</v>
      </c>
      <c r="J567" s="1354"/>
      <c r="K567" s="1354"/>
      <c r="L567" s="1347" t="s">
        <v>349</v>
      </c>
      <c r="M567" s="223">
        <f t="shared" si="243"/>
        <v>1925.6065599999999</v>
      </c>
      <c r="N567" s="224">
        <f t="shared" si="244"/>
        <v>1925.6065599999999</v>
      </c>
      <c r="O567" s="224">
        <f t="shared" si="245"/>
        <v>0</v>
      </c>
      <c r="P567" s="224">
        <f t="shared" si="246"/>
        <v>0</v>
      </c>
      <c r="Q567" s="292"/>
    </row>
    <row r="568" spans="1:17" hidden="1" outlineLevel="1">
      <c r="A568" s="211" t="s">
        <v>818</v>
      </c>
      <c r="B568" s="1346" t="s">
        <v>608</v>
      </c>
      <c r="C568" s="1332">
        <v>969</v>
      </c>
      <c r="D568" s="1313" t="s">
        <v>433</v>
      </c>
      <c r="E568" s="1347" t="s">
        <v>349</v>
      </c>
      <c r="F568" s="1313" t="s">
        <v>429</v>
      </c>
      <c r="G568" s="1348">
        <v>9.3490000000000004E-2</v>
      </c>
      <c r="H568" s="222">
        <f t="shared" si="242"/>
        <v>0</v>
      </c>
      <c r="I568" s="1354">
        <v>0</v>
      </c>
      <c r="J568" s="1354"/>
      <c r="K568" s="1354"/>
      <c r="L568" s="1347" t="s">
        <v>349</v>
      </c>
      <c r="M568" s="223">
        <f t="shared" si="243"/>
        <v>0</v>
      </c>
      <c r="N568" s="224">
        <f t="shared" si="244"/>
        <v>0</v>
      </c>
      <c r="O568" s="224">
        <f t="shared" si="245"/>
        <v>0</v>
      </c>
      <c r="P568" s="224">
        <f t="shared" si="246"/>
        <v>0</v>
      </c>
      <c r="Q568" s="292"/>
    </row>
    <row r="569" spans="1:17" hidden="1" outlineLevel="1">
      <c r="A569" s="211" t="s">
        <v>818</v>
      </c>
      <c r="B569" s="1346" t="s">
        <v>609</v>
      </c>
      <c r="C569" s="1332">
        <v>1003</v>
      </c>
      <c r="D569" s="1313" t="s">
        <v>433</v>
      </c>
      <c r="E569" s="1347" t="s">
        <v>349</v>
      </c>
      <c r="F569" s="1313" t="s">
        <v>430</v>
      </c>
      <c r="G569" s="1349">
        <v>9.9339999999999998E-2</v>
      </c>
      <c r="H569" s="222">
        <f t="shared" si="242"/>
        <v>4092</v>
      </c>
      <c r="I569" s="1354">
        <v>4092</v>
      </c>
      <c r="J569" s="1354"/>
      <c r="K569" s="1354"/>
      <c r="L569" s="1347" t="s">
        <v>349</v>
      </c>
      <c r="M569" s="223">
        <f t="shared" si="243"/>
        <v>406.49928</v>
      </c>
      <c r="N569" s="224">
        <f t="shared" si="244"/>
        <v>406.49928</v>
      </c>
      <c r="O569" s="224">
        <f t="shared" si="245"/>
        <v>0</v>
      </c>
      <c r="P569" s="224">
        <f t="shared" si="246"/>
        <v>0</v>
      </c>
      <c r="Q569" s="292"/>
    </row>
    <row r="570" spans="1:17" hidden="1" outlineLevel="1">
      <c r="A570" s="211" t="s">
        <v>818</v>
      </c>
      <c r="B570" s="1346" t="s">
        <v>416</v>
      </c>
      <c r="C570" s="1332">
        <v>881</v>
      </c>
      <c r="D570" s="1313" t="s">
        <v>433</v>
      </c>
      <c r="E570" s="1347" t="s">
        <v>349</v>
      </c>
      <c r="F570" s="1313" t="s">
        <v>429</v>
      </c>
      <c r="G570" s="1348">
        <v>9.3490000000000004E-2</v>
      </c>
      <c r="H570" s="222">
        <f t="shared" si="242"/>
        <v>580</v>
      </c>
      <c r="I570" s="1354">
        <v>580</v>
      </c>
      <c r="J570" s="1354"/>
      <c r="K570" s="1354"/>
      <c r="L570" s="1347" t="s">
        <v>349</v>
      </c>
      <c r="M570" s="223">
        <f t="shared" si="243"/>
        <v>54.224200000000003</v>
      </c>
      <c r="N570" s="224">
        <f t="shared" si="244"/>
        <v>54.224200000000003</v>
      </c>
      <c r="O570" s="224">
        <f t="shared" si="245"/>
        <v>0</v>
      </c>
      <c r="P570" s="224">
        <f t="shared" si="246"/>
        <v>0</v>
      </c>
      <c r="Q570" s="292"/>
    </row>
    <row r="571" spans="1:17" hidden="1" outlineLevel="1">
      <c r="A571" s="211" t="s">
        <v>818</v>
      </c>
      <c r="B571" s="1346" t="s">
        <v>417</v>
      </c>
      <c r="C571" s="1332">
        <v>832</v>
      </c>
      <c r="D571" s="1313" t="s">
        <v>433</v>
      </c>
      <c r="E571" s="1347" t="s">
        <v>349</v>
      </c>
      <c r="F571" s="1313" t="s">
        <v>429</v>
      </c>
      <c r="G571" s="1348">
        <v>9.3490000000000004E-2</v>
      </c>
      <c r="H571" s="222">
        <f t="shared" si="242"/>
        <v>207</v>
      </c>
      <c r="I571" s="1354">
        <v>207</v>
      </c>
      <c r="J571" s="1354"/>
      <c r="K571" s="1354"/>
      <c r="L571" s="1347" t="s">
        <v>349</v>
      </c>
      <c r="M571" s="223">
        <f t="shared" si="243"/>
        <v>19.352430000000002</v>
      </c>
      <c r="N571" s="224">
        <f t="shared" si="244"/>
        <v>19.352430000000002</v>
      </c>
      <c r="O571" s="224">
        <f t="shared" si="245"/>
        <v>0</v>
      </c>
      <c r="P571" s="224">
        <f t="shared" si="246"/>
        <v>0</v>
      </c>
      <c r="Q571" s="292"/>
    </row>
    <row r="572" spans="1:17" hidden="1" outlineLevel="1">
      <c r="A572" s="211" t="s">
        <v>818</v>
      </c>
      <c r="B572" s="1346" t="s">
        <v>418</v>
      </c>
      <c r="C572" s="1332">
        <v>1138</v>
      </c>
      <c r="D572" s="1313" t="s">
        <v>433</v>
      </c>
      <c r="E572" s="1347" t="s">
        <v>349</v>
      </c>
      <c r="F572" s="1313" t="s">
        <v>430</v>
      </c>
      <c r="G572" s="1349">
        <v>9.9339999999999998E-2</v>
      </c>
      <c r="H572" s="222">
        <f t="shared" si="238"/>
        <v>5934</v>
      </c>
      <c r="I572" s="1354">
        <v>5934</v>
      </c>
      <c r="J572" s="1354"/>
      <c r="K572" s="1354"/>
      <c r="L572" s="1347" t="s">
        <v>349</v>
      </c>
      <c r="M572" s="223">
        <f t="shared" si="206"/>
        <v>589.48356000000001</v>
      </c>
      <c r="N572" s="224">
        <f t="shared" si="239"/>
        <v>589.48356000000001</v>
      </c>
      <c r="O572" s="224">
        <f t="shared" si="240"/>
        <v>0</v>
      </c>
      <c r="P572" s="224">
        <f t="shared" si="241"/>
        <v>0</v>
      </c>
      <c r="Q572" s="292"/>
    </row>
    <row r="573" spans="1:17" hidden="1" outlineLevel="1">
      <c r="A573" s="211" t="s">
        <v>818</v>
      </c>
      <c r="B573" s="1346" t="s">
        <v>419</v>
      </c>
      <c r="C573" s="1332">
        <v>1010</v>
      </c>
      <c r="D573" s="1313" t="s">
        <v>433</v>
      </c>
      <c r="E573" s="1347" t="s">
        <v>349</v>
      </c>
      <c r="F573" s="1313" t="s">
        <v>430</v>
      </c>
      <c r="G573" s="1349">
        <v>9.9339999999999998E-2</v>
      </c>
      <c r="H573" s="222">
        <f t="shared" si="238"/>
        <v>175</v>
      </c>
      <c r="I573" s="1354">
        <v>175</v>
      </c>
      <c r="J573" s="1354"/>
      <c r="K573" s="1354"/>
      <c r="L573" s="1347" t="s">
        <v>349</v>
      </c>
      <c r="M573" s="223">
        <f t="shared" ref="M573:M575" si="247">SUM(N573:P573)</f>
        <v>17.384499999999999</v>
      </c>
      <c r="N573" s="224">
        <f t="shared" ref="N573:N575" si="248">G573*I573</f>
        <v>17.384499999999999</v>
      </c>
      <c r="O573" s="224">
        <f t="shared" ref="O573:O575" si="249">G573*J573*5</f>
        <v>0</v>
      </c>
      <c r="P573" s="224">
        <f t="shared" ref="P573:P575" si="250">G573*K573*5</f>
        <v>0</v>
      </c>
      <c r="Q573" s="292"/>
    </row>
    <row r="574" spans="1:17" hidden="1" outlineLevel="1">
      <c r="A574" s="211" t="s">
        <v>818</v>
      </c>
      <c r="B574" s="1346" t="s">
        <v>420</v>
      </c>
      <c r="C574" s="1332">
        <v>16476</v>
      </c>
      <c r="D574" s="1313" t="s">
        <v>433</v>
      </c>
      <c r="E574" s="1347" t="s">
        <v>349</v>
      </c>
      <c r="F574" s="1313" t="s">
        <v>430</v>
      </c>
      <c r="G574" s="1349">
        <v>9.9339999999999998E-2</v>
      </c>
      <c r="H574" s="222">
        <f t="shared" si="238"/>
        <v>989</v>
      </c>
      <c r="I574" s="1354">
        <v>989</v>
      </c>
      <c r="J574" s="1354"/>
      <c r="K574" s="1354"/>
      <c r="L574" s="1347" t="s">
        <v>349</v>
      </c>
      <c r="M574" s="223">
        <f t="shared" si="247"/>
        <v>98.247259999999997</v>
      </c>
      <c r="N574" s="224">
        <f t="shared" si="248"/>
        <v>98.247259999999997</v>
      </c>
      <c r="O574" s="224">
        <f t="shared" si="249"/>
        <v>0</v>
      </c>
      <c r="P574" s="224">
        <f t="shared" si="250"/>
        <v>0</v>
      </c>
      <c r="Q574" s="292"/>
    </row>
    <row r="575" spans="1:17" hidden="1" outlineLevel="1">
      <c r="A575" s="211" t="s">
        <v>818</v>
      </c>
      <c r="B575" s="1346" t="s">
        <v>602</v>
      </c>
      <c r="C575" s="1332">
        <v>965</v>
      </c>
      <c r="D575" s="1313" t="s">
        <v>433</v>
      </c>
      <c r="E575" s="1347" t="s">
        <v>349</v>
      </c>
      <c r="F575" s="1313" t="s">
        <v>429</v>
      </c>
      <c r="G575" s="1348">
        <v>9.3490000000000004E-2</v>
      </c>
      <c r="H575" s="222">
        <f t="shared" si="238"/>
        <v>540</v>
      </c>
      <c r="I575" s="1354">
        <v>540</v>
      </c>
      <c r="J575" s="1354"/>
      <c r="K575" s="1354"/>
      <c r="L575" s="1347" t="s">
        <v>349</v>
      </c>
      <c r="M575" s="223">
        <f t="shared" si="247"/>
        <v>50.4846</v>
      </c>
      <c r="N575" s="224">
        <f t="shared" si="248"/>
        <v>50.4846</v>
      </c>
      <c r="O575" s="224">
        <f t="shared" si="249"/>
        <v>0</v>
      </c>
      <c r="P575" s="224">
        <f t="shared" si="250"/>
        <v>0</v>
      </c>
      <c r="Q575" s="292"/>
    </row>
    <row r="576" spans="1:17" hidden="1" outlineLevel="1">
      <c r="A576" s="211" t="s">
        <v>818</v>
      </c>
      <c r="B576" s="1346" t="s">
        <v>603</v>
      </c>
      <c r="C576" s="1332">
        <v>968</v>
      </c>
      <c r="D576" s="1313" t="s">
        <v>433</v>
      </c>
      <c r="E576" s="1347" t="s">
        <v>349</v>
      </c>
      <c r="F576" s="1313" t="s">
        <v>429</v>
      </c>
      <c r="G576" s="1348">
        <v>9.3490000000000004E-2</v>
      </c>
      <c r="H576" s="222">
        <f t="shared" si="238"/>
        <v>2440</v>
      </c>
      <c r="I576" s="1354">
        <v>2440</v>
      </c>
      <c r="J576" s="1354"/>
      <c r="K576" s="1354"/>
      <c r="L576" s="1347" t="s">
        <v>349</v>
      </c>
      <c r="M576" s="223">
        <f t="shared" si="206"/>
        <v>228.1156</v>
      </c>
      <c r="N576" s="224">
        <f t="shared" si="239"/>
        <v>228.1156</v>
      </c>
      <c r="O576" s="224">
        <f t="shared" si="240"/>
        <v>0</v>
      </c>
      <c r="P576" s="224">
        <f t="shared" si="241"/>
        <v>0</v>
      </c>
      <c r="Q576" s="292"/>
    </row>
    <row r="577" spans="1:25" hidden="1" outlineLevel="1">
      <c r="A577" s="211" t="s">
        <v>818</v>
      </c>
      <c r="B577" s="1346" t="s">
        <v>421</v>
      </c>
      <c r="C577" s="1332">
        <v>964</v>
      </c>
      <c r="D577" s="1313" t="s">
        <v>433</v>
      </c>
      <c r="E577" s="1347" t="s">
        <v>349</v>
      </c>
      <c r="F577" s="1313" t="s">
        <v>429</v>
      </c>
      <c r="G577" s="1348">
        <v>9.3490000000000004E-2</v>
      </c>
      <c r="H577" s="222">
        <f t="shared" si="238"/>
        <v>93</v>
      </c>
      <c r="I577" s="1354">
        <v>93</v>
      </c>
      <c r="J577" s="1354"/>
      <c r="K577" s="1354"/>
      <c r="L577" s="1347" t="s">
        <v>349</v>
      </c>
      <c r="M577" s="223">
        <f t="shared" si="206"/>
        <v>8.6945700000000006</v>
      </c>
      <c r="N577" s="224">
        <f t="shared" si="239"/>
        <v>8.6945700000000006</v>
      </c>
      <c r="O577" s="224">
        <f t="shared" si="240"/>
        <v>0</v>
      </c>
      <c r="P577" s="224">
        <f t="shared" si="241"/>
        <v>0</v>
      </c>
      <c r="Q577" s="292"/>
    </row>
    <row r="578" spans="1:25" hidden="1" outlineLevel="1">
      <c r="A578" s="211" t="s">
        <v>818</v>
      </c>
      <c r="B578" s="1346" t="s">
        <v>422</v>
      </c>
      <c r="C578" s="1332">
        <v>16477</v>
      </c>
      <c r="D578" s="1313" t="s">
        <v>433</v>
      </c>
      <c r="E578" s="1347" t="s">
        <v>349</v>
      </c>
      <c r="F578" s="1313" t="s">
        <v>430</v>
      </c>
      <c r="G578" s="1349">
        <v>9.9339999999999998E-2</v>
      </c>
      <c r="H578" s="222">
        <f t="shared" si="238"/>
        <v>130</v>
      </c>
      <c r="I578" s="1354">
        <v>130</v>
      </c>
      <c r="J578" s="1354"/>
      <c r="K578" s="1354"/>
      <c r="L578" s="1347" t="s">
        <v>349</v>
      </c>
      <c r="M578" s="223">
        <f t="shared" si="206"/>
        <v>12.914199999999999</v>
      </c>
      <c r="N578" s="224">
        <f t="shared" si="239"/>
        <v>12.914199999999999</v>
      </c>
      <c r="O578" s="224">
        <f t="shared" si="240"/>
        <v>0</v>
      </c>
      <c r="P578" s="224">
        <f t="shared" si="241"/>
        <v>0</v>
      </c>
      <c r="Q578" s="292"/>
    </row>
    <row r="579" spans="1:25" hidden="1" outlineLevel="1">
      <c r="A579" s="211" t="s">
        <v>818</v>
      </c>
      <c r="B579" s="1346" t="s">
        <v>423</v>
      </c>
      <c r="C579" s="1332">
        <v>703</v>
      </c>
      <c r="D579" s="1313" t="s">
        <v>433</v>
      </c>
      <c r="E579" s="1347" t="s">
        <v>349</v>
      </c>
      <c r="F579" s="1313" t="s">
        <v>430</v>
      </c>
      <c r="G579" s="1349">
        <v>9.9339999999999998E-2</v>
      </c>
      <c r="H579" s="222">
        <f t="shared" si="238"/>
        <v>1810</v>
      </c>
      <c r="I579" s="1354">
        <v>1810</v>
      </c>
      <c r="J579" s="1354"/>
      <c r="K579" s="1354"/>
      <c r="L579" s="1347" t="s">
        <v>349</v>
      </c>
      <c r="M579" s="223">
        <f t="shared" si="206"/>
        <v>179.80539999999999</v>
      </c>
      <c r="N579" s="224">
        <f t="shared" si="239"/>
        <v>179.80539999999999</v>
      </c>
      <c r="O579" s="224">
        <f t="shared" si="240"/>
        <v>0</v>
      </c>
      <c r="P579" s="224">
        <f t="shared" si="241"/>
        <v>0</v>
      </c>
      <c r="Q579" s="292"/>
    </row>
    <row r="580" spans="1:25" hidden="1" outlineLevel="1">
      <c r="A580" s="211" t="s">
        <v>818</v>
      </c>
      <c r="B580" s="1346" t="s">
        <v>617</v>
      </c>
      <c r="C580" s="1332">
        <v>707</v>
      </c>
      <c r="D580" s="1313" t="s">
        <v>433</v>
      </c>
      <c r="E580" s="1347" t="s">
        <v>349</v>
      </c>
      <c r="F580" s="1313" t="s">
        <v>430</v>
      </c>
      <c r="G580" s="1349">
        <v>9.9339999999999998E-2</v>
      </c>
      <c r="H580" s="222">
        <f t="shared" si="238"/>
        <v>6485</v>
      </c>
      <c r="I580" s="1354">
        <v>6485</v>
      </c>
      <c r="J580" s="1354"/>
      <c r="K580" s="1354"/>
      <c r="L580" s="1347" t="s">
        <v>349</v>
      </c>
      <c r="M580" s="223">
        <f t="shared" si="206"/>
        <v>644.21989999999994</v>
      </c>
      <c r="N580" s="224">
        <f t="shared" si="239"/>
        <v>644.21989999999994</v>
      </c>
      <c r="O580" s="224">
        <f t="shared" si="240"/>
        <v>0</v>
      </c>
      <c r="P580" s="224">
        <f t="shared" si="241"/>
        <v>0</v>
      </c>
      <c r="Q580" s="292"/>
    </row>
    <row r="581" spans="1:25" hidden="1" outlineLevel="1">
      <c r="A581" s="211" t="s">
        <v>818</v>
      </c>
      <c r="B581" s="1346" t="s">
        <v>466</v>
      </c>
      <c r="C581" s="1332">
        <v>15025</v>
      </c>
      <c r="D581" s="1313" t="s">
        <v>433</v>
      </c>
      <c r="E581" s="1347" t="s">
        <v>349</v>
      </c>
      <c r="F581" s="1313" t="s">
        <v>430</v>
      </c>
      <c r="G581" s="1349">
        <v>9.9339999999999998E-2</v>
      </c>
      <c r="H581" s="222">
        <f t="shared" si="238"/>
        <v>1701</v>
      </c>
      <c r="I581" s="1354">
        <v>1701</v>
      </c>
      <c r="J581" s="1354"/>
      <c r="K581" s="1354"/>
      <c r="L581" s="1347" t="s">
        <v>349</v>
      </c>
      <c r="M581" s="223">
        <f t="shared" si="206"/>
        <v>168.97734</v>
      </c>
      <c r="N581" s="224">
        <f t="shared" si="239"/>
        <v>168.97734</v>
      </c>
      <c r="O581" s="224">
        <f t="shared" si="240"/>
        <v>0</v>
      </c>
      <c r="P581" s="224">
        <f t="shared" si="241"/>
        <v>0</v>
      </c>
      <c r="Q581" s="292"/>
    </row>
    <row r="582" spans="1:25" hidden="1" outlineLevel="1">
      <c r="A582" s="211" t="s">
        <v>818</v>
      </c>
      <c r="B582" s="1346" t="s">
        <v>659</v>
      </c>
      <c r="C582" s="1332">
        <v>51778</v>
      </c>
      <c r="D582" s="1313" t="s">
        <v>433</v>
      </c>
      <c r="E582" s="1347" t="s">
        <v>349</v>
      </c>
      <c r="F582" s="1313" t="s">
        <v>430</v>
      </c>
      <c r="G582" s="1349">
        <v>9.9339999999999998E-2</v>
      </c>
      <c r="H582" s="222">
        <f t="shared" si="238"/>
        <v>214</v>
      </c>
      <c r="I582" s="1354">
        <v>214</v>
      </c>
      <c r="J582" s="1354"/>
      <c r="K582" s="1354"/>
      <c r="L582" s="1347" t="s">
        <v>349</v>
      </c>
      <c r="M582" s="223">
        <f t="shared" ref="M582" si="251">SUM(N582:P582)</f>
        <v>21.258759999999999</v>
      </c>
      <c r="N582" s="224">
        <f t="shared" ref="N582" si="252">G582*I582</f>
        <v>21.258759999999999</v>
      </c>
      <c r="O582" s="224">
        <f t="shared" ref="O582" si="253">G582*J582*5</f>
        <v>0</v>
      </c>
      <c r="P582" s="224">
        <f t="shared" ref="P582" si="254">G582*K582*5</f>
        <v>0</v>
      </c>
      <c r="Q582" s="292"/>
    </row>
    <row r="583" spans="1:25" ht="13.8" hidden="1" outlineLevel="1" thickBot="1">
      <c r="A583" s="225" t="s">
        <v>818</v>
      </c>
      <c r="B583" s="1350" t="s">
        <v>461</v>
      </c>
      <c r="C583" s="1336">
        <v>60447</v>
      </c>
      <c r="D583" s="1321" t="s">
        <v>433</v>
      </c>
      <c r="E583" s="1351" t="s">
        <v>349</v>
      </c>
      <c r="F583" s="1321" t="s">
        <v>430</v>
      </c>
      <c r="G583" s="1352">
        <v>9.9339999999999998E-2</v>
      </c>
      <c r="H583" s="226">
        <f t="shared" si="238"/>
        <v>29532</v>
      </c>
      <c r="I583" s="1355">
        <v>29532</v>
      </c>
      <c r="J583" s="1355"/>
      <c r="K583" s="1355"/>
      <c r="L583" s="1351" t="s">
        <v>349</v>
      </c>
      <c r="M583" s="233">
        <f t="shared" si="206"/>
        <v>2933.7088800000001</v>
      </c>
      <c r="N583" s="228">
        <f t="shared" si="239"/>
        <v>2933.7088800000001</v>
      </c>
      <c r="O583" s="228">
        <f t="shared" si="240"/>
        <v>0</v>
      </c>
      <c r="P583" s="228">
        <f t="shared" si="241"/>
        <v>0</v>
      </c>
      <c r="Q583" s="518"/>
      <c r="R583" s="512">
        <f>SUM(M553:M583)</f>
        <v>11839.860169</v>
      </c>
    </row>
    <row r="584" spans="1:25" ht="13.8" collapsed="1" thickBot="1">
      <c r="A584" s="193" t="s">
        <v>812</v>
      </c>
      <c r="B584" s="212"/>
      <c r="C584" s="212"/>
      <c r="D584" s="212"/>
      <c r="E584" s="213"/>
      <c r="F584" s="214"/>
      <c r="G584" s="194"/>
      <c r="H584" s="779">
        <f>SUM(H460:H583)</f>
        <v>459857</v>
      </c>
      <c r="I584" s="231">
        <f>SUM(I460:I583)</f>
        <v>458886</v>
      </c>
      <c r="J584" s="231">
        <f>SUM(J460:J583)</f>
        <v>971</v>
      </c>
      <c r="K584" s="231">
        <f>SUM(K460:K583)</f>
        <v>0</v>
      </c>
      <c r="L584" s="231"/>
      <c r="M584" s="232">
        <f>SUM(M460:M583)</f>
        <v>47392.128749999974</v>
      </c>
      <c r="N584" s="241">
        <f>SUM(N460:N583)</f>
        <v>46909.833049999972</v>
      </c>
      <c r="O584" s="241">
        <f>SUM(O460:O583)</f>
        <v>482.29570000000001</v>
      </c>
      <c r="P584" s="241">
        <f>SUM(P460:P583)</f>
        <v>0</v>
      </c>
      <c r="Q584" s="196"/>
    </row>
    <row r="585" spans="1:25">
      <c r="B585" s="243"/>
      <c r="C585" s="243"/>
      <c r="D585" s="243"/>
      <c r="E585" s="244"/>
      <c r="F585" s="245"/>
      <c r="G585" s="244"/>
      <c r="H585" s="246"/>
      <c r="I585" s="246"/>
      <c r="J585" s="1766" t="s">
        <v>1185</v>
      </c>
      <c r="K585" s="1766"/>
      <c r="L585" s="1766"/>
      <c r="M585" s="1766"/>
      <c r="N585" s="514">
        <f>'2. Kasumiaruanne'!H32</f>
        <v>46909.899999999994</v>
      </c>
      <c r="O585" s="514">
        <f>'2. Kasumiaruanne'!J32</f>
        <v>482.3</v>
      </c>
      <c r="P585" s="247"/>
      <c r="Q585" s="248"/>
    </row>
    <row r="586" spans="1:25" ht="13.8" thickBot="1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516" t="s">
        <v>369</v>
      </c>
      <c r="N586" s="517">
        <f>N584-N585</f>
        <v>-6.695000002218876E-2</v>
      </c>
      <c r="O586" s="517">
        <f>O584-O585</f>
        <v>-4.3000000000006366E-3</v>
      </c>
      <c r="P586" s="177"/>
      <c r="Q586" s="177"/>
    </row>
    <row r="587" spans="1:25">
      <c r="A587" s="1767">
        <v>2023</v>
      </c>
      <c r="B587" s="1783"/>
      <c r="C587" s="1783"/>
      <c r="D587" s="1783"/>
      <c r="E587" s="1783"/>
      <c r="F587" s="268"/>
      <c r="G587" s="268"/>
      <c r="H587" s="269"/>
      <c r="I587" s="268"/>
      <c r="J587" s="268"/>
      <c r="K587" s="268"/>
      <c r="L587" s="268"/>
      <c r="M587" s="268"/>
      <c r="N587" s="268"/>
      <c r="O587" s="268"/>
      <c r="P587" s="268"/>
      <c r="Q587" s="268"/>
    </row>
    <row r="588" spans="1:25" ht="13.8" thickBot="1">
      <c r="A588" s="15" t="s">
        <v>1308</v>
      </c>
      <c r="B588" s="189"/>
      <c r="C588" s="189"/>
      <c r="D588" s="189"/>
      <c r="E588" s="189"/>
      <c r="F588" s="188"/>
      <c r="G588" s="188"/>
      <c r="H588" s="188"/>
      <c r="I588" s="188"/>
      <c r="J588" s="188"/>
      <c r="K588" s="188"/>
      <c r="L588" s="188"/>
      <c r="M588" s="188"/>
      <c r="N588" s="188"/>
      <c r="O588" s="188"/>
      <c r="P588" s="188"/>
      <c r="Q588" s="188"/>
      <c r="S588" s="1763" t="s">
        <v>1270</v>
      </c>
      <c r="T588" s="1763"/>
      <c r="U588" s="1531">
        <f>'3. Üldiseloomustus'!F61</f>
        <v>320162.41599999997</v>
      </c>
      <c r="V588" s="1517" t="s">
        <v>1271</v>
      </c>
      <c r="W588" s="1761">
        <f>A587</f>
        <v>2023</v>
      </c>
      <c r="X588" s="1761"/>
      <c r="Y588" s="1761"/>
    </row>
    <row r="589" spans="1:25" hidden="1" outlineLevel="1">
      <c r="A589" s="771" t="s">
        <v>819</v>
      </c>
      <c r="B589" s="1308" t="s">
        <v>434</v>
      </c>
      <c r="C589" s="1308" t="s">
        <v>435</v>
      </c>
      <c r="D589" s="1309" t="s">
        <v>427</v>
      </c>
      <c r="E589" s="1310">
        <v>1</v>
      </c>
      <c r="F589" s="1309" t="s">
        <v>868</v>
      </c>
      <c r="G589" s="1311">
        <v>1435</v>
      </c>
      <c r="H589" s="778">
        <f>SUM(I589:K589)</f>
        <v>3.2780999999999998E-2</v>
      </c>
      <c r="I589" s="1330">
        <v>3.2780999999999998E-2</v>
      </c>
      <c r="J589" s="1330"/>
      <c r="K589" s="1330"/>
      <c r="L589" s="1310">
        <v>1</v>
      </c>
      <c r="M589" s="772">
        <f>SUM(N589:P589)-Q589</f>
        <v>47.040734999999998</v>
      </c>
      <c r="N589" s="772">
        <f t="shared" ref="N589:N594" si="255">E589*G589*I589*L589</f>
        <v>47.040734999999998</v>
      </c>
      <c r="O589" s="773">
        <f t="shared" ref="O589:O594" si="256">E589*G589*J589*L589*10</f>
        <v>0</v>
      </c>
      <c r="P589" s="773">
        <f>E589*G589*K589*L589*15</f>
        <v>0</v>
      </c>
      <c r="Q589" s="1339">
        <v>0</v>
      </c>
      <c r="R589" s="774"/>
      <c r="S589" s="1758" t="s">
        <v>1272</v>
      </c>
      <c r="T589" s="1758"/>
      <c r="U589" s="1538">
        <f>H589+H599+H603+H607+H613+H619+H624+H629+H640+H645+H649+H655+H661+H666+H671+H681+H685+H689+H695+H701+H706+H711+H721+H725+H729+H735+H741+H746</f>
        <v>0.49439699999999998</v>
      </c>
      <c r="V589" s="1519" t="s">
        <v>1273</v>
      </c>
      <c r="W589" s="1520" t="s">
        <v>1274</v>
      </c>
      <c r="X589" s="1552">
        <f>U589*1000000/U588</f>
        <v>1.5442068628067827</v>
      </c>
      <c r="Y589" s="1522" t="s">
        <v>1275</v>
      </c>
    </row>
    <row r="590" spans="1:25" hidden="1" outlineLevel="1">
      <c r="A590" s="190" t="s">
        <v>819</v>
      </c>
      <c r="B590" s="1312" t="s">
        <v>434</v>
      </c>
      <c r="C590" s="1312" t="s">
        <v>435</v>
      </c>
      <c r="D590" s="1313" t="s">
        <v>427</v>
      </c>
      <c r="E590" s="1314">
        <v>1</v>
      </c>
      <c r="F590" s="1319" t="s">
        <v>441</v>
      </c>
      <c r="G590" s="1315">
        <v>552.89</v>
      </c>
      <c r="H590" s="237">
        <f t="shared" ref="H590:H591" si="257">SUM(I590:K590)</f>
        <v>1.0748000000000001E-2</v>
      </c>
      <c r="I590" s="1332">
        <v>1.0748000000000001E-2</v>
      </c>
      <c r="J590" s="1332"/>
      <c r="K590" s="1332"/>
      <c r="L590" s="1314">
        <v>1</v>
      </c>
      <c r="M590" s="223">
        <f t="shared" ref="M590:M591" si="258">SUM(N590:P590)-Q590</f>
        <v>5.9424617199999998</v>
      </c>
      <c r="N590" s="223">
        <f t="shared" si="255"/>
        <v>5.9424617199999998</v>
      </c>
      <c r="O590" s="224">
        <f t="shared" si="256"/>
        <v>0</v>
      </c>
      <c r="P590" s="224">
        <f t="shared" ref="P590:P591" si="259">E590*G590*K590*L590*15</f>
        <v>0</v>
      </c>
      <c r="Q590" s="1340">
        <v>0</v>
      </c>
      <c r="S590" s="1758" t="s">
        <v>871</v>
      </c>
      <c r="T590" s="1758"/>
      <c r="U590" s="1539">
        <f>H641</f>
        <v>0</v>
      </c>
      <c r="V590" s="1519" t="s">
        <v>1273</v>
      </c>
      <c r="W590" s="1520" t="s">
        <v>1274</v>
      </c>
      <c r="X590" s="1541">
        <f>U590*1000000/U588</f>
        <v>0</v>
      </c>
      <c r="Y590" s="1522" t="s">
        <v>1275</v>
      </c>
    </row>
    <row r="591" spans="1:25" hidden="1" outlineLevel="1">
      <c r="A591" s="190" t="s">
        <v>819</v>
      </c>
      <c r="B591" s="1316" t="s">
        <v>434</v>
      </c>
      <c r="C591" s="1316" t="s">
        <v>435</v>
      </c>
      <c r="D591" s="1313" t="s">
        <v>427</v>
      </c>
      <c r="E591" s="1318">
        <v>1</v>
      </c>
      <c r="F591" s="1319" t="s">
        <v>442</v>
      </c>
      <c r="G591" s="1315">
        <v>4582</v>
      </c>
      <c r="H591" s="238">
        <f t="shared" si="257"/>
        <v>3.7620000000000002E-3</v>
      </c>
      <c r="I591" s="1334">
        <v>3.7620000000000002E-3</v>
      </c>
      <c r="J591" s="1334"/>
      <c r="K591" s="1334"/>
      <c r="L591" s="1318">
        <v>1</v>
      </c>
      <c r="M591" s="233">
        <f t="shared" si="258"/>
        <v>17.237484000000002</v>
      </c>
      <c r="N591" s="233">
        <f t="shared" si="255"/>
        <v>17.237484000000002</v>
      </c>
      <c r="O591" s="234">
        <f t="shared" si="256"/>
        <v>0</v>
      </c>
      <c r="P591" s="234">
        <f t="shared" si="259"/>
        <v>0</v>
      </c>
      <c r="Q591" s="1341">
        <v>0</v>
      </c>
      <c r="S591" s="1758" t="s">
        <v>1276</v>
      </c>
      <c r="T591" s="1758"/>
      <c r="U591" s="1538">
        <f>H590+H596+H597+H598+H600+H604+H608+H614+H620+H625+H630+H635+H637+H638+H639+H642+H646+H650+H656+H662+H667+H672+H678+H679+H680+H682+H686+H690+H696+H702+H707+H712+H718+H719+H720+H722+H726+H730+H736+H742+H747</f>
        <v>0.88432100000000013</v>
      </c>
      <c r="V591" s="1519" t="s">
        <v>1273</v>
      </c>
      <c r="W591" s="1520" t="s">
        <v>1274</v>
      </c>
      <c r="X591" s="1552">
        <f>U591*1000000/U588</f>
        <v>2.7621012205255231</v>
      </c>
      <c r="Y591" s="1522" t="s">
        <v>1275</v>
      </c>
    </row>
    <row r="592" spans="1:25" hidden="1" outlineLevel="1">
      <c r="A592" s="190" t="s">
        <v>819</v>
      </c>
      <c r="B592" s="1316" t="s">
        <v>434</v>
      </c>
      <c r="C592" s="1316" t="s">
        <v>435</v>
      </c>
      <c r="D592" s="1317" t="s">
        <v>427</v>
      </c>
      <c r="E592" s="1318">
        <v>1</v>
      </c>
      <c r="F592" s="1319" t="s">
        <v>443</v>
      </c>
      <c r="G592" s="1315">
        <v>2826</v>
      </c>
      <c r="H592" s="238">
        <f>SUM(I592:K592)</f>
        <v>0.15047199999999999</v>
      </c>
      <c r="I592" s="1334">
        <v>0.15047199999999999</v>
      </c>
      <c r="J592" s="1334"/>
      <c r="K592" s="1334"/>
      <c r="L592" s="1318">
        <v>1</v>
      </c>
      <c r="M592" s="233">
        <f>SUM(N592:P592)-Q592</f>
        <v>425.23387199999996</v>
      </c>
      <c r="N592" s="233">
        <f t="shared" si="255"/>
        <v>425.23387199999996</v>
      </c>
      <c r="O592" s="234">
        <f t="shared" si="256"/>
        <v>0</v>
      </c>
      <c r="P592" s="234">
        <f>E592*G592*K592*L592*15</f>
        <v>0</v>
      </c>
      <c r="Q592" s="1341">
        <v>0</v>
      </c>
      <c r="S592" s="1758" t="s">
        <v>1279</v>
      </c>
      <c r="T592" s="1758"/>
      <c r="U592" s="1538">
        <f>H591+H595+H609+H615+H621+H626+H631+H636+H651+H657+H663+H668+H673+H677+H691+H697+H703+H708+H713+H717+H731+H737+H743+H748</f>
        <v>3.1421000000000004E-2</v>
      </c>
      <c r="V592" s="1519" t="s">
        <v>1273</v>
      </c>
      <c r="W592" s="1520" t="s">
        <v>1274</v>
      </c>
      <c r="X592" s="1552">
        <f>U592*1000000/U588</f>
        <v>9.8140813630042095E-2</v>
      </c>
      <c r="Y592" s="1522" t="s">
        <v>1275</v>
      </c>
    </row>
    <row r="593" spans="1:25" hidden="1" outlineLevel="1">
      <c r="A593" s="190" t="s">
        <v>819</v>
      </c>
      <c r="B593" s="1316" t="s">
        <v>434</v>
      </c>
      <c r="C593" s="1316" t="s">
        <v>435</v>
      </c>
      <c r="D593" s="1317" t="s">
        <v>427</v>
      </c>
      <c r="E593" s="1318">
        <v>1</v>
      </c>
      <c r="F593" s="1317" t="s">
        <v>444</v>
      </c>
      <c r="G593" s="1315">
        <v>12014</v>
      </c>
      <c r="H593" s="238">
        <f>SUM(I593:K593)</f>
        <v>1.5585000000000002E-2</v>
      </c>
      <c r="I593" s="1334">
        <v>1.0748000000000001E-2</v>
      </c>
      <c r="J593" s="1334">
        <v>4.8370000000000002E-3</v>
      </c>
      <c r="K593" s="1334"/>
      <c r="L593" s="1318">
        <v>1</v>
      </c>
      <c r="M593" s="233">
        <f>SUM(N593:P593)-Q593</f>
        <v>710.24365200000011</v>
      </c>
      <c r="N593" s="233">
        <f t="shared" si="255"/>
        <v>129.12647200000001</v>
      </c>
      <c r="O593" s="234">
        <f t="shared" si="256"/>
        <v>581.11718000000008</v>
      </c>
      <c r="P593" s="234">
        <f>E593*G593*K593*L593*15</f>
        <v>0</v>
      </c>
      <c r="Q593" s="1341">
        <v>0</v>
      </c>
      <c r="S593" s="1758" t="s">
        <v>1278</v>
      </c>
      <c r="T593" s="1758"/>
      <c r="U593" s="1538">
        <f>H592+H601+H605+H610+H616+H622+H627+H632+H643+H647+H652+H658+H664+H669+H674+H683+H687+H692+H698+H704+H709+H714+H723+H727+H732+H738+H744+H749</f>
        <v>1.0412889999999999</v>
      </c>
      <c r="V593" s="1519" t="s">
        <v>1273</v>
      </c>
      <c r="W593" s="1520" t="s">
        <v>1274</v>
      </c>
      <c r="X593" s="1552">
        <f>U593*1000000/U588</f>
        <v>3.2523773808603442</v>
      </c>
      <c r="Y593" s="1522" t="s">
        <v>1275</v>
      </c>
    </row>
    <row r="594" spans="1:25" hidden="1" outlineLevel="1">
      <c r="A594" s="190" t="s">
        <v>819</v>
      </c>
      <c r="B594" s="1320" t="s">
        <v>434</v>
      </c>
      <c r="C594" s="1320" t="s">
        <v>435</v>
      </c>
      <c r="D594" s="1321" t="s">
        <v>427</v>
      </c>
      <c r="E594" s="1322">
        <v>1</v>
      </c>
      <c r="F594" s="1324" t="s">
        <v>445</v>
      </c>
      <c r="G594" s="1323">
        <v>24326</v>
      </c>
      <c r="H594" s="239">
        <f t="shared" ref="H594:H601" si="260">SUM(I594:K594)</f>
        <v>0</v>
      </c>
      <c r="I594" s="1336"/>
      <c r="J594" s="1336"/>
      <c r="K594" s="1336"/>
      <c r="L594" s="1322">
        <v>1</v>
      </c>
      <c r="M594" s="227">
        <f t="shared" ref="M594" si="261">SUM(N594:P594)-Q594</f>
        <v>0</v>
      </c>
      <c r="N594" s="227">
        <f t="shared" si="255"/>
        <v>0</v>
      </c>
      <c r="O594" s="228">
        <f t="shared" si="256"/>
        <v>0</v>
      </c>
      <c r="P594" s="228">
        <f t="shared" ref="P594" si="262">E594*G594*K594*L594*15</f>
        <v>0</v>
      </c>
      <c r="Q594" s="1342">
        <v>0</v>
      </c>
      <c r="S594" s="1758" t="s">
        <v>1277</v>
      </c>
      <c r="T594" s="1758"/>
      <c r="U594" s="1538">
        <f>H593+H602+H606+H611+H617+H623+H628+H633+H644+H648+H653+H659+H665+H670+H675+H684+H688+H693+H699+H705+H710+H715+H724+H728+H733+H739+H745+H750</f>
        <v>0.14701600000000001</v>
      </c>
      <c r="V594" s="1519" t="s">
        <v>1273</v>
      </c>
      <c r="W594" s="1520" t="s">
        <v>1274</v>
      </c>
      <c r="X594" s="1552">
        <f>U594*1000000/U588</f>
        <v>0.45919193713230855</v>
      </c>
      <c r="Y594" s="1522" t="s">
        <v>1275</v>
      </c>
    </row>
    <row r="595" spans="1:25" hidden="1" outlineLevel="1">
      <c r="A595" s="190" t="s">
        <v>819</v>
      </c>
      <c r="B595" s="1320" t="s">
        <v>869</v>
      </c>
      <c r="C595" s="1320" t="s">
        <v>870</v>
      </c>
      <c r="D595" s="1321" t="s">
        <v>427</v>
      </c>
      <c r="E595" s="1322">
        <v>1</v>
      </c>
      <c r="F595" s="1324" t="s">
        <v>442</v>
      </c>
      <c r="G595" s="1328">
        <v>4582</v>
      </c>
      <c r="H595" s="239">
        <f t="shared" si="260"/>
        <v>0</v>
      </c>
      <c r="I595" s="1335"/>
      <c r="J595" s="1335"/>
      <c r="K595" s="1336"/>
      <c r="L595" s="1322">
        <v>0.5</v>
      </c>
      <c r="M595" s="520">
        <f t="shared" ref="M595:M598" si="263">SUM(N595:P595)-Q595</f>
        <v>0</v>
      </c>
      <c r="N595" s="521">
        <v>0</v>
      </c>
      <c r="O595" s="522">
        <f t="shared" ref="O595:O598" si="264">E595*G595*J595</f>
        <v>0</v>
      </c>
      <c r="P595" s="522"/>
      <c r="Q595" s="1342">
        <v>0</v>
      </c>
      <c r="S595" s="1759" t="s">
        <v>1280</v>
      </c>
      <c r="T595" s="1759"/>
      <c r="U595" s="1540">
        <f>H594+H612+H618+H634+H654+H660+H676+H694+H700+H716+H734+H740</f>
        <v>4.0000000000000003E-5</v>
      </c>
      <c r="V595" s="1525" t="s">
        <v>1273</v>
      </c>
      <c r="W595" s="1526" t="s">
        <v>1274</v>
      </c>
      <c r="X595" s="1553">
        <f>U595*1000000/U588</f>
        <v>1.2493658843454005E-4</v>
      </c>
      <c r="Y595" s="1527" t="s">
        <v>1275</v>
      </c>
    </row>
    <row r="596" spans="1:25" hidden="1" outlineLevel="1">
      <c r="A596" s="190" t="s">
        <v>819</v>
      </c>
      <c r="B596" s="1320" t="s">
        <v>1301</v>
      </c>
      <c r="C596" s="1320" t="s">
        <v>867</v>
      </c>
      <c r="D596" s="1321" t="s">
        <v>427</v>
      </c>
      <c r="E596" s="1322">
        <v>1.5</v>
      </c>
      <c r="F596" s="1324" t="s">
        <v>441</v>
      </c>
      <c r="G596" s="1323">
        <v>552.89</v>
      </c>
      <c r="H596" s="239">
        <f t="shared" si="260"/>
        <v>0</v>
      </c>
      <c r="I596" s="1335"/>
      <c r="J596" s="1335"/>
      <c r="K596" s="1336"/>
      <c r="L596" s="1322">
        <v>0.5</v>
      </c>
      <c r="M596" s="520">
        <f t="shared" si="263"/>
        <v>0</v>
      </c>
      <c r="N596" s="521">
        <v>0</v>
      </c>
      <c r="O596" s="522">
        <f t="shared" si="264"/>
        <v>0</v>
      </c>
      <c r="P596" s="522"/>
      <c r="Q596" s="1342">
        <v>0</v>
      </c>
      <c r="T596" s="1529" t="s">
        <v>1104</v>
      </c>
      <c r="U596" s="1530">
        <f>SUM(U589:U595)-H751</f>
        <v>0</v>
      </c>
    </row>
    <row r="597" spans="1:25" hidden="1" outlineLevel="1">
      <c r="A597" s="190" t="s">
        <v>819</v>
      </c>
      <c r="B597" s="1325" t="s">
        <v>620</v>
      </c>
      <c r="C597" s="1325" t="s">
        <v>621</v>
      </c>
      <c r="D597" s="1321" t="s">
        <v>427</v>
      </c>
      <c r="E597" s="1327">
        <v>1</v>
      </c>
      <c r="F597" s="1324" t="s">
        <v>441</v>
      </c>
      <c r="G597" s="1323">
        <v>552.89</v>
      </c>
      <c r="H597" s="239">
        <f t="shared" ref="H597:H598" si="265">SUM(I597:K597)</f>
        <v>0</v>
      </c>
      <c r="I597" s="1482"/>
      <c r="J597" s="1338"/>
      <c r="K597" s="1338"/>
      <c r="L597" s="1322">
        <v>0.5</v>
      </c>
      <c r="M597" s="520">
        <f t="shared" si="263"/>
        <v>0</v>
      </c>
      <c r="N597" s="521">
        <v>0</v>
      </c>
      <c r="O597" s="522">
        <f t="shared" si="264"/>
        <v>0</v>
      </c>
      <c r="P597" s="522"/>
      <c r="Q597" s="1342">
        <v>0</v>
      </c>
    </row>
    <row r="598" spans="1:25" hidden="1" outlineLevel="1">
      <c r="A598" s="190" t="s">
        <v>819</v>
      </c>
      <c r="B598" s="1325" t="s">
        <v>622</v>
      </c>
      <c r="C598" s="1325" t="s">
        <v>619</v>
      </c>
      <c r="D598" s="1321" t="s">
        <v>427</v>
      </c>
      <c r="E598" s="1327">
        <v>1</v>
      </c>
      <c r="F598" s="1324" t="s">
        <v>441</v>
      </c>
      <c r="G598" s="1323">
        <v>552.89</v>
      </c>
      <c r="H598" s="239">
        <f t="shared" si="265"/>
        <v>0</v>
      </c>
      <c r="I598" s="1482"/>
      <c r="J598" s="1338"/>
      <c r="K598" s="1338"/>
      <c r="L598" s="1322">
        <v>0.5</v>
      </c>
      <c r="M598" s="520">
        <f t="shared" si="263"/>
        <v>0</v>
      </c>
      <c r="N598" s="521">
        <v>0</v>
      </c>
      <c r="O598" s="522">
        <f t="shared" si="264"/>
        <v>0</v>
      </c>
      <c r="P598" s="522"/>
      <c r="Q598" s="1342">
        <v>0</v>
      </c>
    </row>
    <row r="599" spans="1:25" hidden="1" outlineLevel="1">
      <c r="A599" s="190" t="s">
        <v>819</v>
      </c>
      <c r="B599" s="1316" t="s">
        <v>436</v>
      </c>
      <c r="C599" s="1316" t="s">
        <v>591</v>
      </c>
      <c r="D599" s="1317" t="s">
        <v>427</v>
      </c>
      <c r="E599" s="1318">
        <v>1</v>
      </c>
      <c r="F599" s="1317" t="s">
        <v>868</v>
      </c>
      <c r="G599" s="1315">
        <v>1435</v>
      </c>
      <c r="H599" s="238">
        <f t="shared" si="260"/>
        <v>0</v>
      </c>
      <c r="I599" s="1333"/>
      <c r="J599" s="1333"/>
      <c r="K599" s="1334"/>
      <c r="L599" s="1318">
        <v>1</v>
      </c>
      <c r="M599" s="233">
        <f t="shared" ref="M599:M601" si="266">SUM(N599:P599)-Q599</f>
        <v>0</v>
      </c>
      <c r="N599" s="233">
        <f t="shared" ref="N599:N634" si="267">E599*G599*I599*L599</f>
        <v>0</v>
      </c>
      <c r="O599" s="234">
        <f t="shared" ref="O599:O634" si="268">E599*G599*J599*L599*10</f>
        <v>0</v>
      </c>
      <c r="P599" s="234">
        <f t="shared" ref="P599:P606" si="269">E599*G599*K599*L599*15</f>
        <v>0</v>
      </c>
      <c r="Q599" s="1341">
        <v>0</v>
      </c>
    </row>
    <row r="600" spans="1:25" hidden="1" outlineLevel="1">
      <c r="A600" s="190" t="s">
        <v>819</v>
      </c>
      <c r="B600" s="1316" t="s">
        <v>436</v>
      </c>
      <c r="C600" s="1316" t="s">
        <v>591</v>
      </c>
      <c r="D600" s="1317" t="s">
        <v>427</v>
      </c>
      <c r="E600" s="1318">
        <v>1</v>
      </c>
      <c r="F600" s="1319" t="s">
        <v>441</v>
      </c>
      <c r="G600" s="1315">
        <v>552.89</v>
      </c>
      <c r="H600" s="238">
        <f t="shared" si="260"/>
        <v>0</v>
      </c>
      <c r="I600" s="1333"/>
      <c r="J600" s="1333"/>
      <c r="K600" s="1334"/>
      <c r="L600" s="1318">
        <v>1</v>
      </c>
      <c r="M600" s="233">
        <f t="shared" si="266"/>
        <v>0</v>
      </c>
      <c r="N600" s="233">
        <f t="shared" si="267"/>
        <v>0</v>
      </c>
      <c r="O600" s="234">
        <f t="shared" si="268"/>
        <v>0</v>
      </c>
      <c r="P600" s="234">
        <f t="shared" si="269"/>
        <v>0</v>
      </c>
      <c r="Q600" s="1341">
        <v>0</v>
      </c>
    </row>
    <row r="601" spans="1:25" hidden="1" outlineLevel="1">
      <c r="A601" s="270" t="s">
        <v>819</v>
      </c>
      <c r="B601" s="1316" t="s">
        <v>436</v>
      </c>
      <c r="C601" s="1316" t="s">
        <v>591</v>
      </c>
      <c r="D601" s="1317" t="s">
        <v>427</v>
      </c>
      <c r="E601" s="1318">
        <v>1</v>
      </c>
      <c r="F601" s="1319" t="s">
        <v>443</v>
      </c>
      <c r="G601" s="1315">
        <v>2826</v>
      </c>
      <c r="H601" s="238">
        <f t="shared" si="260"/>
        <v>0</v>
      </c>
      <c r="I601" s="1333"/>
      <c r="J601" s="1333"/>
      <c r="K601" s="1334"/>
      <c r="L601" s="1318">
        <v>1</v>
      </c>
      <c r="M601" s="233">
        <f t="shared" si="266"/>
        <v>0</v>
      </c>
      <c r="N601" s="233">
        <f t="shared" si="267"/>
        <v>0</v>
      </c>
      <c r="O601" s="234">
        <f t="shared" si="268"/>
        <v>0</v>
      </c>
      <c r="P601" s="234">
        <f t="shared" si="269"/>
        <v>0</v>
      </c>
      <c r="Q601" s="1341">
        <v>0</v>
      </c>
    </row>
    <row r="602" spans="1:25" hidden="1" outlineLevel="1">
      <c r="A602" s="190" t="s">
        <v>819</v>
      </c>
      <c r="B602" s="1320" t="s">
        <v>436</v>
      </c>
      <c r="C602" s="1320" t="s">
        <v>591</v>
      </c>
      <c r="D602" s="1321" t="s">
        <v>427</v>
      </c>
      <c r="E602" s="1322">
        <v>1</v>
      </c>
      <c r="F602" s="1324" t="s">
        <v>444</v>
      </c>
      <c r="G602" s="1323">
        <v>12014</v>
      </c>
      <c r="H602" s="239">
        <f t="shared" ref="H602:H606" si="270">SUM(I602:K602)</f>
        <v>0</v>
      </c>
      <c r="I602" s="1335"/>
      <c r="J602" s="1335"/>
      <c r="K602" s="1336"/>
      <c r="L602" s="1322">
        <v>1</v>
      </c>
      <c r="M602" s="227">
        <f t="shared" ref="M602:M606" si="271">SUM(N602:P602)-Q602</f>
        <v>0</v>
      </c>
      <c r="N602" s="227">
        <f t="shared" si="267"/>
        <v>0</v>
      </c>
      <c r="O602" s="228">
        <f t="shared" si="268"/>
        <v>0</v>
      </c>
      <c r="P602" s="228">
        <f t="shared" si="269"/>
        <v>0</v>
      </c>
      <c r="Q602" s="1342">
        <v>0</v>
      </c>
    </row>
    <row r="603" spans="1:25" hidden="1" outlineLevel="1">
      <c r="A603" s="190" t="s">
        <v>819</v>
      </c>
      <c r="B603" s="1316" t="s">
        <v>437</v>
      </c>
      <c r="C603" s="1316" t="s">
        <v>592</v>
      </c>
      <c r="D603" s="1317" t="s">
        <v>427</v>
      </c>
      <c r="E603" s="1318">
        <v>1</v>
      </c>
      <c r="F603" s="1317" t="s">
        <v>868</v>
      </c>
      <c r="G603" s="1315">
        <v>1435</v>
      </c>
      <c r="H603" s="238">
        <f t="shared" si="270"/>
        <v>2.1000000000000001E-4</v>
      </c>
      <c r="I603" s="1333">
        <v>2.1000000000000001E-4</v>
      </c>
      <c r="J603" s="1333"/>
      <c r="K603" s="1334"/>
      <c r="L603" s="1318">
        <v>0.5</v>
      </c>
      <c r="M603" s="233">
        <f t="shared" si="271"/>
        <v>0.150675</v>
      </c>
      <c r="N603" s="233">
        <f t="shared" si="267"/>
        <v>0.150675</v>
      </c>
      <c r="O603" s="234">
        <f t="shared" si="268"/>
        <v>0</v>
      </c>
      <c r="P603" s="234">
        <f t="shared" si="269"/>
        <v>0</v>
      </c>
      <c r="Q603" s="1341">
        <v>0</v>
      </c>
    </row>
    <row r="604" spans="1:25" hidden="1" outlineLevel="1">
      <c r="A604" s="190" t="s">
        <v>819</v>
      </c>
      <c r="B604" s="1316" t="s">
        <v>437</v>
      </c>
      <c r="C604" s="1316" t="s">
        <v>592</v>
      </c>
      <c r="D604" s="1317" t="s">
        <v>427</v>
      </c>
      <c r="E604" s="1318">
        <v>1</v>
      </c>
      <c r="F604" s="1319" t="s">
        <v>441</v>
      </c>
      <c r="G604" s="1315">
        <v>552.89</v>
      </c>
      <c r="H604" s="238">
        <f t="shared" si="270"/>
        <v>1.8000000000000001E-4</v>
      </c>
      <c r="I604" s="1333">
        <v>1.8000000000000001E-4</v>
      </c>
      <c r="J604" s="1333"/>
      <c r="K604" s="1334"/>
      <c r="L604" s="1318">
        <v>0.5</v>
      </c>
      <c r="M604" s="233">
        <f t="shared" si="271"/>
        <v>4.9760100000000002E-2</v>
      </c>
      <c r="N604" s="233">
        <f t="shared" si="267"/>
        <v>4.9760100000000002E-2</v>
      </c>
      <c r="O604" s="234">
        <f t="shared" si="268"/>
        <v>0</v>
      </c>
      <c r="P604" s="234">
        <f t="shared" si="269"/>
        <v>0</v>
      </c>
      <c r="Q604" s="1341">
        <v>0</v>
      </c>
    </row>
    <row r="605" spans="1:25" hidden="1" outlineLevel="1">
      <c r="A605" s="270" t="s">
        <v>819</v>
      </c>
      <c r="B605" s="1316" t="s">
        <v>437</v>
      </c>
      <c r="C605" s="1316" t="s">
        <v>592</v>
      </c>
      <c r="D605" s="1317" t="s">
        <v>427</v>
      </c>
      <c r="E605" s="1318">
        <v>1</v>
      </c>
      <c r="F605" s="1319" t="s">
        <v>443</v>
      </c>
      <c r="G605" s="1315">
        <v>2826</v>
      </c>
      <c r="H605" s="238">
        <f t="shared" si="270"/>
        <v>1.92E-4</v>
      </c>
      <c r="I605" s="1333">
        <v>1.92E-4</v>
      </c>
      <c r="J605" s="1333"/>
      <c r="K605" s="1334"/>
      <c r="L605" s="1318">
        <v>0.5</v>
      </c>
      <c r="M605" s="233">
        <f t="shared" si="271"/>
        <v>0.27129599999999998</v>
      </c>
      <c r="N605" s="233">
        <f t="shared" si="267"/>
        <v>0.27129599999999998</v>
      </c>
      <c r="O605" s="234">
        <f t="shared" si="268"/>
        <v>0</v>
      </c>
      <c r="P605" s="234">
        <f t="shared" si="269"/>
        <v>0</v>
      </c>
      <c r="Q605" s="1341">
        <v>0</v>
      </c>
    </row>
    <row r="606" spans="1:25" hidden="1" outlineLevel="1">
      <c r="A606" s="270" t="s">
        <v>819</v>
      </c>
      <c r="B606" s="1320" t="s">
        <v>437</v>
      </c>
      <c r="C606" s="1320" t="s">
        <v>592</v>
      </c>
      <c r="D606" s="1321" t="s">
        <v>427</v>
      </c>
      <c r="E606" s="1322">
        <v>1</v>
      </c>
      <c r="F606" s="1324" t="s">
        <v>444</v>
      </c>
      <c r="G606" s="1323">
        <v>12014</v>
      </c>
      <c r="H606" s="239">
        <f t="shared" si="270"/>
        <v>1.0000000000000001E-5</v>
      </c>
      <c r="I606" s="1335">
        <v>1.0000000000000001E-5</v>
      </c>
      <c r="J606" s="1335"/>
      <c r="K606" s="1336"/>
      <c r="L606" s="1322">
        <v>0.5</v>
      </c>
      <c r="M606" s="227">
        <f t="shared" si="271"/>
        <v>6.0070000000000005E-2</v>
      </c>
      <c r="N606" s="227">
        <f t="shared" si="267"/>
        <v>6.0070000000000005E-2</v>
      </c>
      <c r="O606" s="228">
        <f t="shared" si="268"/>
        <v>0</v>
      </c>
      <c r="P606" s="228">
        <f t="shared" si="269"/>
        <v>0</v>
      </c>
      <c r="Q606" s="1342">
        <v>0</v>
      </c>
    </row>
    <row r="607" spans="1:25" hidden="1" outlineLevel="1">
      <c r="A607" s="270" t="s">
        <v>819</v>
      </c>
      <c r="B607" s="1316" t="s">
        <v>438</v>
      </c>
      <c r="C607" s="1316" t="s">
        <v>593</v>
      </c>
      <c r="D607" s="1317" t="s">
        <v>427</v>
      </c>
      <c r="E607" s="1318">
        <v>1</v>
      </c>
      <c r="F607" s="1319" t="s">
        <v>868</v>
      </c>
      <c r="G607" s="1315">
        <v>1435</v>
      </c>
      <c r="H607" s="238">
        <f>SUM(I607:K607)</f>
        <v>4.7999999999999996E-3</v>
      </c>
      <c r="I607" s="1333">
        <v>4.7999999999999996E-3</v>
      </c>
      <c r="J607" s="1333"/>
      <c r="K607" s="1334"/>
      <c r="L607" s="1318">
        <v>1</v>
      </c>
      <c r="M607" s="233">
        <f>SUM(N607:P607)-Q607</f>
        <v>6.887999999999999</v>
      </c>
      <c r="N607" s="233">
        <f t="shared" si="267"/>
        <v>6.887999999999999</v>
      </c>
      <c r="O607" s="234">
        <f t="shared" si="268"/>
        <v>0</v>
      </c>
      <c r="P607" s="234">
        <f>E607*G607*K607*L607*15</f>
        <v>0</v>
      </c>
      <c r="Q607" s="1341">
        <v>0</v>
      </c>
    </row>
    <row r="608" spans="1:25" hidden="1" outlineLevel="1">
      <c r="A608" s="270" t="s">
        <v>819</v>
      </c>
      <c r="B608" s="1316" t="s">
        <v>438</v>
      </c>
      <c r="C608" s="1316" t="s">
        <v>593</v>
      </c>
      <c r="D608" s="1317" t="s">
        <v>427</v>
      </c>
      <c r="E608" s="1318">
        <v>1</v>
      </c>
      <c r="F608" s="1319" t="s">
        <v>441</v>
      </c>
      <c r="G608" s="1315">
        <v>552.89</v>
      </c>
      <c r="H608" s="238">
        <f t="shared" ref="H608" si="272">SUM(I608:K608)</f>
        <v>2.3999999999999998E-3</v>
      </c>
      <c r="I608" s="1333">
        <v>2.3999999999999998E-3</v>
      </c>
      <c r="J608" s="1333"/>
      <c r="K608" s="1334"/>
      <c r="L608" s="1318">
        <v>1</v>
      </c>
      <c r="M608" s="233">
        <f t="shared" ref="M608" si="273">SUM(N608:P608)-Q608</f>
        <v>1.3269359999999999</v>
      </c>
      <c r="N608" s="233">
        <f t="shared" si="267"/>
        <v>1.3269359999999999</v>
      </c>
      <c r="O608" s="234">
        <f t="shared" si="268"/>
        <v>0</v>
      </c>
      <c r="P608" s="234">
        <f t="shared" ref="P608:P628" si="274">E608*G608*K608*L608*15</f>
        <v>0</v>
      </c>
      <c r="Q608" s="1341">
        <v>0</v>
      </c>
    </row>
    <row r="609" spans="1:17" hidden="1" outlineLevel="1">
      <c r="A609" s="270" t="s">
        <v>819</v>
      </c>
      <c r="B609" s="1316" t="s">
        <v>438</v>
      </c>
      <c r="C609" s="1316" t="s">
        <v>593</v>
      </c>
      <c r="D609" s="1317" t="s">
        <v>427</v>
      </c>
      <c r="E609" s="1318">
        <v>1</v>
      </c>
      <c r="F609" s="1319" t="s">
        <v>442</v>
      </c>
      <c r="G609" s="1315">
        <v>4582</v>
      </c>
      <c r="H609" s="238">
        <f t="shared" ref="H609:H619" si="275">SUM(I609:K609)</f>
        <v>5.2800000000000004E-4</v>
      </c>
      <c r="I609" s="1333">
        <v>4.8000000000000001E-4</v>
      </c>
      <c r="J609" s="1333">
        <v>4.8000000000000001E-5</v>
      </c>
      <c r="K609" s="1334"/>
      <c r="L609" s="1318">
        <v>1</v>
      </c>
      <c r="M609" s="233">
        <f t="shared" ref="M609:M619" si="276">SUM(N609:P609)-Q609</f>
        <v>4.39872</v>
      </c>
      <c r="N609" s="233">
        <f t="shared" si="267"/>
        <v>2.19936</v>
      </c>
      <c r="O609" s="234">
        <f t="shared" si="268"/>
        <v>2.19936</v>
      </c>
      <c r="P609" s="234">
        <f t="shared" si="274"/>
        <v>0</v>
      </c>
      <c r="Q609" s="1341">
        <v>0</v>
      </c>
    </row>
    <row r="610" spans="1:17" hidden="1" outlineLevel="1">
      <c r="A610" s="270" t="s">
        <v>819</v>
      </c>
      <c r="B610" s="1316" t="s">
        <v>438</v>
      </c>
      <c r="C610" s="1316" t="s">
        <v>593</v>
      </c>
      <c r="D610" s="1317" t="s">
        <v>427</v>
      </c>
      <c r="E610" s="1318">
        <v>1</v>
      </c>
      <c r="F610" s="1319" t="s">
        <v>443</v>
      </c>
      <c r="G610" s="1315">
        <v>2826</v>
      </c>
      <c r="H610" s="238">
        <f t="shared" si="275"/>
        <v>5.28E-3</v>
      </c>
      <c r="I610" s="1333">
        <v>5.28E-3</v>
      </c>
      <c r="J610" s="1333"/>
      <c r="K610" s="1334"/>
      <c r="L610" s="1318">
        <v>1</v>
      </c>
      <c r="M610" s="233">
        <f t="shared" si="276"/>
        <v>14.921279999999999</v>
      </c>
      <c r="N610" s="233">
        <f t="shared" si="267"/>
        <v>14.921279999999999</v>
      </c>
      <c r="O610" s="234">
        <f t="shared" si="268"/>
        <v>0</v>
      </c>
      <c r="P610" s="234">
        <f t="shared" si="274"/>
        <v>0</v>
      </c>
      <c r="Q610" s="1341">
        <v>0</v>
      </c>
    </row>
    <row r="611" spans="1:17" hidden="1" outlineLevel="1">
      <c r="A611" s="190" t="s">
        <v>819</v>
      </c>
      <c r="B611" s="1316" t="s">
        <v>438</v>
      </c>
      <c r="C611" s="1316" t="s">
        <v>593</v>
      </c>
      <c r="D611" s="1317" t="s">
        <v>427</v>
      </c>
      <c r="E611" s="1318">
        <v>1</v>
      </c>
      <c r="F611" s="1319" t="s">
        <v>444</v>
      </c>
      <c r="G611" s="1315">
        <v>12014</v>
      </c>
      <c r="H611" s="238">
        <f t="shared" si="275"/>
        <v>5.2800000000000004E-4</v>
      </c>
      <c r="I611" s="1333">
        <v>2.4000000000000001E-4</v>
      </c>
      <c r="J611" s="1333">
        <v>2.8800000000000001E-4</v>
      </c>
      <c r="K611" s="1334"/>
      <c r="L611" s="1318">
        <v>1</v>
      </c>
      <c r="M611" s="233">
        <f t="shared" si="276"/>
        <v>37.48368</v>
      </c>
      <c r="N611" s="233">
        <f t="shared" si="267"/>
        <v>2.8833600000000001</v>
      </c>
      <c r="O611" s="234">
        <f t="shared" si="268"/>
        <v>34.600319999999996</v>
      </c>
      <c r="P611" s="234">
        <f t="shared" si="274"/>
        <v>0</v>
      </c>
      <c r="Q611" s="1341">
        <v>0</v>
      </c>
    </row>
    <row r="612" spans="1:17" hidden="1" outlineLevel="1">
      <c r="A612" s="270" t="s">
        <v>819</v>
      </c>
      <c r="B612" s="1320" t="s">
        <v>438</v>
      </c>
      <c r="C612" s="1320" t="s">
        <v>593</v>
      </c>
      <c r="D612" s="1321" t="s">
        <v>427</v>
      </c>
      <c r="E612" s="1322">
        <v>1</v>
      </c>
      <c r="F612" s="1324" t="s">
        <v>445</v>
      </c>
      <c r="G612" s="1323">
        <v>24326</v>
      </c>
      <c r="H612" s="239">
        <f t="shared" si="275"/>
        <v>1.0000000000000001E-5</v>
      </c>
      <c r="I612" s="1335">
        <v>1.0000000000000001E-5</v>
      </c>
      <c r="J612" s="1335"/>
      <c r="K612" s="1336"/>
      <c r="L612" s="1322">
        <v>1</v>
      </c>
      <c r="M612" s="227">
        <f t="shared" si="276"/>
        <v>0.24326000000000003</v>
      </c>
      <c r="N612" s="227">
        <f t="shared" si="267"/>
        <v>0.24326000000000003</v>
      </c>
      <c r="O612" s="228">
        <f t="shared" si="268"/>
        <v>0</v>
      </c>
      <c r="P612" s="228">
        <f t="shared" si="274"/>
        <v>0</v>
      </c>
      <c r="Q612" s="1342">
        <v>0</v>
      </c>
    </row>
    <row r="613" spans="1:17" hidden="1" outlineLevel="1">
      <c r="A613" s="270" t="s">
        <v>819</v>
      </c>
      <c r="B613" s="1316" t="s">
        <v>418</v>
      </c>
      <c r="C613" s="1316" t="s">
        <v>439</v>
      </c>
      <c r="D613" s="1317" t="s">
        <v>427</v>
      </c>
      <c r="E613" s="1318">
        <v>1.5</v>
      </c>
      <c r="F613" s="1319" t="s">
        <v>868</v>
      </c>
      <c r="G613" s="1315">
        <v>1435</v>
      </c>
      <c r="H613" s="238">
        <f t="shared" si="275"/>
        <v>1.1221999999999999E-2</v>
      </c>
      <c r="I613" s="1333">
        <v>1.1221999999999999E-2</v>
      </c>
      <c r="J613" s="1333"/>
      <c r="K613" s="1334"/>
      <c r="L613" s="1318">
        <v>1</v>
      </c>
      <c r="M613" s="233">
        <f t="shared" si="276"/>
        <v>24.155355</v>
      </c>
      <c r="N613" s="233">
        <f t="shared" si="267"/>
        <v>24.155355</v>
      </c>
      <c r="O613" s="234">
        <f t="shared" si="268"/>
        <v>0</v>
      </c>
      <c r="P613" s="234">
        <f t="shared" si="274"/>
        <v>0</v>
      </c>
      <c r="Q613" s="1341">
        <v>0</v>
      </c>
    </row>
    <row r="614" spans="1:17" hidden="1" outlineLevel="1">
      <c r="A614" s="270" t="s">
        <v>819</v>
      </c>
      <c r="B614" s="1316" t="s">
        <v>418</v>
      </c>
      <c r="C614" s="1316" t="s">
        <v>439</v>
      </c>
      <c r="D614" s="1317" t="s">
        <v>427</v>
      </c>
      <c r="E614" s="1318">
        <v>1.5</v>
      </c>
      <c r="F614" s="1319" t="s">
        <v>441</v>
      </c>
      <c r="G614" s="1315">
        <v>552.89</v>
      </c>
      <c r="H614" s="238">
        <f t="shared" si="275"/>
        <v>1.9019999999999999E-2</v>
      </c>
      <c r="I614" s="1333">
        <v>1.9019999999999999E-2</v>
      </c>
      <c r="J614" s="1333"/>
      <c r="K614" s="1334"/>
      <c r="L614" s="1318">
        <v>1</v>
      </c>
      <c r="M614" s="233">
        <f t="shared" si="276"/>
        <v>15.7739517</v>
      </c>
      <c r="N614" s="233">
        <f t="shared" si="267"/>
        <v>15.7739517</v>
      </c>
      <c r="O614" s="234">
        <f t="shared" si="268"/>
        <v>0</v>
      </c>
      <c r="P614" s="234">
        <f t="shared" si="274"/>
        <v>0</v>
      </c>
      <c r="Q614" s="1341">
        <v>0</v>
      </c>
    </row>
    <row r="615" spans="1:17" hidden="1" outlineLevel="1">
      <c r="A615" s="270" t="s">
        <v>819</v>
      </c>
      <c r="B615" s="1316" t="s">
        <v>418</v>
      </c>
      <c r="C615" s="1316" t="s">
        <v>439</v>
      </c>
      <c r="D615" s="1317" t="s">
        <v>427</v>
      </c>
      <c r="E615" s="1318">
        <v>1.5</v>
      </c>
      <c r="F615" s="1319" t="s">
        <v>442</v>
      </c>
      <c r="G615" s="1315">
        <v>4582</v>
      </c>
      <c r="H615" s="238">
        <f t="shared" si="275"/>
        <v>2.8530000000000001E-3</v>
      </c>
      <c r="I615" s="1333">
        <v>1.902E-3</v>
      </c>
      <c r="J615" s="1333">
        <v>9.5100000000000002E-4</v>
      </c>
      <c r="K615" s="1334"/>
      <c r="L615" s="1318">
        <v>1</v>
      </c>
      <c r="M615" s="233">
        <f t="shared" si="276"/>
        <v>78.43467600000001</v>
      </c>
      <c r="N615" s="233">
        <f t="shared" si="267"/>
        <v>13.072446000000001</v>
      </c>
      <c r="O615" s="234">
        <f t="shared" si="268"/>
        <v>65.362230000000011</v>
      </c>
      <c r="P615" s="234">
        <f t="shared" si="274"/>
        <v>0</v>
      </c>
      <c r="Q615" s="1341">
        <v>0</v>
      </c>
    </row>
    <row r="616" spans="1:17" hidden="1" outlineLevel="1">
      <c r="A616" s="270" t="s">
        <v>819</v>
      </c>
      <c r="B616" s="1316" t="s">
        <v>418</v>
      </c>
      <c r="C616" s="1316" t="s">
        <v>439</v>
      </c>
      <c r="D616" s="1317" t="s">
        <v>427</v>
      </c>
      <c r="E616" s="1318">
        <v>1.5</v>
      </c>
      <c r="F616" s="1319" t="s">
        <v>443</v>
      </c>
      <c r="G616" s="1315">
        <v>2826</v>
      </c>
      <c r="H616" s="238">
        <f t="shared" si="275"/>
        <v>1.9019999999999999E-2</v>
      </c>
      <c r="I616" s="1333">
        <v>1.9019999999999999E-2</v>
      </c>
      <c r="J616" s="1333"/>
      <c r="K616" s="1334"/>
      <c r="L616" s="1318">
        <v>1</v>
      </c>
      <c r="M616" s="233">
        <f t="shared" si="276"/>
        <v>80.625779999999992</v>
      </c>
      <c r="N616" s="233">
        <f t="shared" si="267"/>
        <v>80.625779999999992</v>
      </c>
      <c r="O616" s="234">
        <f t="shared" si="268"/>
        <v>0</v>
      </c>
      <c r="P616" s="234">
        <f t="shared" si="274"/>
        <v>0</v>
      </c>
      <c r="Q616" s="1341">
        <v>0</v>
      </c>
    </row>
    <row r="617" spans="1:17" hidden="1" outlineLevel="1">
      <c r="A617" s="270" t="s">
        <v>819</v>
      </c>
      <c r="B617" s="1316" t="s">
        <v>418</v>
      </c>
      <c r="C617" s="1316" t="s">
        <v>439</v>
      </c>
      <c r="D617" s="1317" t="s">
        <v>427</v>
      </c>
      <c r="E617" s="1318">
        <v>1.5</v>
      </c>
      <c r="F617" s="1319" t="s">
        <v>444</v>
      </c>
      <c r="G617" s="1315">
        <v>12014</v>
      </c>
      <c r="H617" s="238">
        <f t="shared" si="275"/>
        <v>7.2300000000000001E-4</v>
      </c>
      <c r="I617" s="1333">
        <v>7.2300000000000001E-4</v>
      </c>
      <c r="J617" s="1333"/>
      <c r="K617" s="1334"/>
      <c r="L617" s="1318">
        <v>1</v>
      </c>
      <c r="M617" s="233">
        <f t="shared" si="276"/>
        <v>13.029183</v>
      </c>
      <c r="N617" s="233">
        <f t="shared" si="267"/>
        <v>13.029183</v>
      </c>
      <c r="O617" s="234">
        <f t="shared" si="268"/>
        <v>0</v>
      </c>
      <c r="P617" s="234">
        <f t="shared" si="274"/>
        <v>0</v>
      </c>
      <c r="Q617" s="1341">
        <v>0</v>
      </c>
    </row>
    <row r="618" spans="1:17" hidden="1" outlineLevel="1">
      <c r="A618" s="270" t="s">
        <v>819</v>
      </c>
      <c r="B618" s="1320" t="s">
        <v>418</v>
      </c>
      <c r="C618" s="1320" t="s">
        <v>439</v>
      </c>
      <c r="D618" s="1321" t="s">
        <v>427</v>
      </c>
      <c r="E618" s="1322">
        <v>1.5</v>
      </c>
      <c r="F618" s="1324" t="s">
        <v>445</v>
      </c>
      <c r="G618" s="1323">
        <v>24326</v>
      </c>
      <c r="H618" s="239">
        <f t="shared" si="275"/>
        <v>0</v>
      </c>
      <c r="I618" s="1335"/>
      <c r="J618" s="1335"/>
      <c r="K618" s="1336"/>
      <c r="L618" s="1322">
        <v>1</v>
      </c>
      <c r="M618" s="227">
        <f t="shared" si="276"/>
        <v>0</v>
      </c>
      <c r="N618" s="227">
        <f t="shared" si="267"/>
        <v>0</v>
      </c>
      <c r="O618" s="228">
        <f t="shared" si="268"/>
        <v>0</v>
      </c>
      <c r="P618" s="228">
        <f t="shared" si="274"/>
        <v>0</v>
      </c>
      <c r="Q618" s="1342">
        <v>0</v>
      </c>
    </row>
    <row r="619" spans="1:17" hidden="1" outlineLevel="1">
      <c r="A619" s="270" t="s">
        <v>819</v>
      </c>
      <c r="B619" s="1316" t="s">
        <v>411</v>
      </c>
      <c r="C619" s="1316" t="s">
        <v>440</v>
      </c>
      <c r="D619" s="1317" t="s">
        <v>427</v>
      </c>
      <c r="E619" s="1318">
        <v>1.5</v>
      </c>
      <c r="F619" s="1319" t="s">
        <v>868</v>
      </c>
      <c r="G619" s="1315">
        <v>1435</v>
      </c>
      <c r="H619" s="238">
        <f t="shared" si="275"/>
        <v>9.1199999999999996E-3</v>
      </c>
      <c r="I619" s="1333">
        <v>9.1199999999999996E-3</v>
      </c>
      <c r="J619" s="1333"/>
      <c r="K619" s="1334"/>
      <c r="L619" s="1318">
        <v>0.5</v>
      </c>
      <c r="M619" s="233">
        <f t="shared" si="276"/>
        <v>9.8154000000000003</v>
      </c>
      <c r="N619" s="233">
        <f t="shared" si="267"/>
        <v>9.8154000000000003</v>
      </c>
      <c r="O619" s="234">
        <f t="shared" si="268"/>
        <v>0</v>
      </c>
      <c r="P619" s="234">
        <f t="shared" si="274"/>
        <v>0</v>
      </c>
      <c r="Q619" s="1341">
        <v>0</v>
      </c>
    </row>
    <row r="620" spans="1:17" hidden="1" outlineLevel="1">
      <c r="A620" s="270" t="s">
        <v>819</v>
      </c>
      <c r="B620" s="1316" t="s">
        <v>411</v>
      </c>
      <c r="C620" s="1316" t="s">
        <v>440</v>
      </c>
      <c r="D620" s="1317" t="s">
        <v>427</v>
      </c>
      <c r="E620" s="1318">
        <v>1.5</v>
      </c>
      <c r="F620" s="1317" t="s">
        <v>441</v>
      </c>
      <c r="G620" s="1315">
        <v>552.89</v>
      </c>
      <c r="H620" s="238">
        <f t="shared" ref="H620" si="277">SUM(I620:K620)</f>
        <v>9.1199999999999996E-3</v>
      </c>
      <c r="I620" s="1333">
        <v>9.1199999999999996E-3</v>
      </c>
      <c r="J620" s="1333"/>
      <c r="K620" s="1334"/>
      <c r="L620" s="1318">
        <v>0.5</v>
      </c>
      <c r="M620" s="233">
        <f t="shared" ref="M620:M628" si="278">SUM(N620:P620)-Q620</f>
        <v>3.7817676000000002</v>
      </c>
      <c r="N620" s="233">
        <f t="shared" si="267"/>
        <v>3.7817676000000002</v>
      </c>
      <c r="O620" s="234">
        <f t="shared" si="268"/>
        <v>0</v>
      </c>
      <c r="P620" s="234">
        <f t="shared" si="274"/>
        <v>0</v>
      </c>
      <c r="Q620" s="1341">
        <v>0</v>
      </c>
    </row>
    <row r="621" spans="1:17" hidden="1" outlineLevel="1">
      <c r="A621" s="270" t="s">
        <v>819</v>
      </c>
      <c r="B621" s="1316" t="s">
        <v>411</v>
      </c>
      <c r="C621" s="1316" t="s">
        <v>440</v>
      </c>
      <c r="D621" s="1317" t="s">
        <v>427</v>
      </c>
      <c r="E621" s="1318">
        <v>1.5</v>
      </c>
      <c r="F621" s="1319" t="s">
        <v>442</v>
      </c>
      <c r="G621" s="1315">
        <v>4582</v>
      </c>
      <c r="H621" s="238">
        <f>SUM(I621:K621)</f>
        <v>0</v>
      </c>
      <c r="I621" s="1333"/>
      <c r="J621" s="1333"/>
      <c r="K621" s="1334"/>
      <c r="L621" s="1318">
        <v>0.5</v>
      </c>
      <c r="M621" s="233">
        <f t="shared" si="278"/>
        <v>0</v>
      </c>
      <c r="N621" s="233">
        <f t="shared" si="267"/>
        <v>0</v>
      </c>
      <c r="O621" s="234">
        <f t="shared" si="268"/>
        <v>0</v>
      </c>
      <c r="P621" s="234">
        <f t="shared" si="274"/>
        <v>0</v>
      </c>
      <c r="Q621" s="1341">
        <v>0</v>
      </c>
    </row>
    <row r="622" spans="1:17" hidden="1" outlineLevel="1">
      <c r="A622" s="270" t="s">
        <v>819</v>
      </c>
      <c r="B622" s="1316" t="s">
        <v>411</v>
      </c>
      <c r="C622" s="1316" t="s">
        <v>440</v>
      </c>
      <c r="D622" s="1317" t="s">
        <v>427</v>
      </c>
      <c r="E622" s="1318">
        <v>1.5</v>
      </c>
      <c r="F622" s="1319" t="s">
        <v>443</v>
      </c>
      <c r="G622" s="1315">
        <v>2826</v>
      </c>
      <c r="H622" s="238">
        <f t="shared" ref="H622:H628" si="279">SUM(I622:K622)</f>
        <v>7.2960000000000004E-3</v>
      </c>
      <c r="I622" s="1333">
        <v>7.2960000000000004E-3</v>
      </c>
      <c r="J622" s="1333"/>
      <c r="K622" s="1334"/>
      <c r="L622" s="1318">
        <v>0.5</v>
      </c>
      <c r="M622" s="233">
        <f t="shared" si="278"/>
        <v>15.463872</v>
      </c>
      <c r="N622" s="233">
        <f t="shared" si="267"/>
        <v>15.463872</v>
      </c>
      <c r="O622" s="234">
        <f t="shared" si="268"/>
        <v>0</v>
      </c>
      <c r="P622" s="234">
        <f t="shared" si="274"/>
        <v>0</v>
      </c>
      <c r="Q622" s="1341">
        <v>0</v>
      </c>
    </row>
    <row r="623" spans="1:17" hidden="1" outlineLevel="1">
      <c r="A623" s="270" t="s">
        <v>819</v>
      </c>
      <c r="B623" s="1320" t="s">
        <v>411</v>
      </c>
      <c r="C623" s="1320" t="s">
        <v>440</v>
      </c>
      <c r="D623" s="1321" t="s">
        <v>427</v>
      </c>
      <c r="E623" s="1322">
        <v>1.5</v>
      </c>
      <c r="F623" s="1324" t="s">
        <v>444</v>
      </c>
      <c r="G623" s="1323">
        <v>12014</v>
      </c>
      <c r="H623" s="239">
        <f t="shared" si="279"/>
        <v>5.8500000000000002E-4</v>
      </c>
      <c r="I623" s="1335">
        <v>5.8500000000000002E-4</v>
      </c>
      <c r="J623" s="1335"/>
      <c r="K623" s="1336"/>
      <c r="L623" s="1322">
        <v>0.5</v>
      </c>
      <c r="M623" s="227">
        <f t="shared" si="278"/>
        <v>5.2711424999999998</v>
      </c>
      <c r="N623" s="227">
        <f t="shared" si="267"/>
        <v>5.2711424999999998</v>
      </c>
      <c r="O623" s="228">
        <f t="shared" si="268"/>
        <v>0</v>
      </c>
      <c r="P623" s="228">
        <f t="shared" si="274"/>
        <v>0</v>
      </c>
      <c r="Q623" s="1342">
        <v>0</v>
      </c>
    </row>
    <row r="624" spans="1:17" hidden="1" outlineLevel="1">
      <c r="A624" s="270" t="s">
        <v>819</v>
      </c>
      <c r="B624" s="1316" t="s">
        <v>409</v>
      </c>
      <c r="C624" s="1316" t="s">
        <v>594</v>
      </c>
      <c r="D624" s="1317" t="s">
        <v>427</v>
      </c>
      <c r="E624" s="1318">
        <v>1</v>
      </c>
      <c r="F624" s="1319" t="s">
        <v>868</v>
      </c>
      <c r="G624" s="1315">
        <v>1435</v>
      </c>
      <c r="H624" s="238">
        <f t="shared" si="279"/>
        <v>6.8099999999999996E-4</v>
      </c>
      <c r="I624" s="1333">
        <v>6.8099999999999996E-4</v>
      </c>
      <c r="J624" s="1333"/>
      <c r="K624" s="1334"/>
      <c r="L624" s="1318">
        <v>0.5</v>
      </c>
      <c r="M624" s="233">
        <f t="shared" si="278"/>
        <v>0.48861749999999998</v>
      </c>
      <c r="N624" s="233">
        <f t="shared" si="267"/>
        <v>0.48861749999999998</v>
      </c>
      <c r="O624" s="234">
        <f t="shared" si="268"/>
        <v>0</v>
      </c>
      <c r="P624" s="234">
        <f t="shared" si="274"/>
        <v>0</v>
      </c>
      <c r="Q624" s="1341">
        <v>0</v>
      </c>
    </row>
    <row r="625" spans="1:18" hidden="1" outlineLevel="1">
      <c r="A625" s="270" t="s">
        <v>819</v>
      </c>
      <c r="B625" s="1316" t="s">
        <v>409</v>
      </c>
      <c r="C625" s="1316" t="s">
        <v>594</v>
      </c>
      <c r="D625" s="1317" t="s">
        <v>427</v>
      </c>
      <c r="E625" s="1318">
        <v>1</v>
      </c>
      <c r="F625" s="1317" t="s">
        <v>441</v>
      </c>
      <c r="G625" s="1315">
        <v>552.89</v>
      </c>
      <c r="H625" s="238">
        <f t="shared" si="279"/>
        <v>1.3619999999999999E-3</v>
      </c>
      <c r="I625" s="1333">
        <v>1.3619999999999999E-3</v>
      </c>
      <c r="J625" s="1333"/>
      <c r="K625" s="1334"/>
      <c r="L625" s="1318">
        <v>0.5</v>
      </c>
      <c r="M625" s="233">
        <f t="shared" si="278"/>
        <v>0.37651808999999997</v>
      </c>
      <c r="N625" s="233">
        <f t="shared" si="267"/>
        <v>0.37651808999999997</v>
      </c>
      <c r="O625" s="234">
        <f t="shared" si="268"/>
        <v>0</v>
      </c>
      <c r="P625" s="234">
        <f t="shared" si="274"/>
        <v>0</v>
      </c>
      <c r="Q625" s="1341">
        <v>0</v>
      </c>
    </row>
    <row r="626" spans="1:18" hidden="1" outlineLevel="1">
      <c r="A626" s="270" t="s">
        <v>819</v>
      </c>
      <c r="B626" s="1316" t="s">
        <v>409</v>
      </c>
      <c r="C626" s="1316" t="s">
        <v>594</v>
      </c>
      <c r="D626" s="1317" t="s">
        <v>427</v>
      </c>
      <c r="E626" s="1318">
        <v>1</v>
      </c>
      <c r="F626" s="1319" t="s">
        <v>442</v>
      </c>
      <c r="G626" s="1315">
        <v>4582</v>
      </c>
      <c r="H626" s="238">
        <f t="shared" si="279"/>
        <v>0</v>
      </c>
      <c r="I626" s="1333"/>
      <c r="J626" s="1333"/>
      <c r="K626" s="1334"/>
      <c r="L626" s="1318">
        <v>0.5</v>
      </c>
      <c r="M626" s="233">
        <f t="shared" si="278"/>
        <v>0</v>
      </c>
      <c r="N626" s="233">
        <f t="shared" si="267"/>
        <v>0</v>
      </c>
      <c r="O626" s="234">
        <f t="shared" si="268"/>
        <v>0</v>
      </c>
      <c r="P626" s="234">
        <f t="shared" si="274"/>
        <v>0</v>
      </c>
      <c r="Q626" s="1341">
        <v>0</v>
      </c>
    </row>
    <row r="627" spans="1:18" hidden="1" outlineLevel="1">
      <c r="A627" s="270" t="s">
        <v>819</v>
      </c>
      <c r="B627" s="1316" t="s">
        <v>409</v>
      </c>
      <c r="C627" s="1316" t="s">
        <v>594</v>
      </c>
      <c r="D627" s="1317" t="s">
        <v>427</v>
      </c>
      <c r="E627" s="1318">
        <v>1</v>
      </c>
      <c r="F627" s="1319" t="s">
        <v>443</v>
      </c>
      <c r="G627" s="1315">
        <v>2826</v>
      </c>
      <c r="H627" s="238">
        <f t="shared" si="279"/>
        <v>1.0895999999999999E-2</v>
      </c>
      <c r="I627" s="1333">
        <v>1.0895999999999999E-2</v>
      </c>
      <c r="J627" s="1333"/>
      <c r="K627" s="1334"/>
      <c r="L627" s="1318">
        <v>0.5</v>
      </c>
      <c r="M627" s="235">
        <f t="shared" si="278"/>
        <v>15.396047999999999</v>
      </c>
      <c r="N627" s="233">
        <f t="shared" si="267"/>
        <v>15.396047999999999</v>
      </c>
      <c r="O627" s="234">
        <f t="shared" si="268"/>
        <v>0</v>
      </c>
      <c r="P627" s="234">
        <f t="shared" si="274"/>
        <v>0</v>
      </c>
      <c r="Q627" s="1341">
        <v>0</v>
      </c>
    </row>
    <row r="628" spans="1:18" hidden="1" outlineLevel="1">
      <c r="A628" s="191" t="s">
        <v>819</v>
      </c>
      <c r="B628" s="1320" t="s">
        <v>409</v>
      </c>
      <c r="C628" s="1320" t="s">
        <v>594</v>
      </c>
      <c r="D628" s="1321" t="s">
        <v>427</v>
      </c>
      <c r="E628" s="1322">
        <v>1</v>
      </c>
      <c r="F628" s="1324" t="s">
        <v>444</v>
      </c>
      <c r="G628" s="1323">
        <v>12014</v>
      </c>
      <c r="H628" s="239">
        <f t="shared" si="279"/>
        <v>1.2300000000000001E-4</v>
      </c>
      <c r="I628" s="1335">
        <v>1.2300000000000001E-4</v>
      </c>
      <c r="J628" s="1335"/>
      <c r="K628" s="1336"/>
      <c r="L628" s="1322">
        <v>0.5</v>
      </c>
      <c r="M628" s="267">
        <f t="shared" si="278"/>
        <v>0.7388610000000001</v>
      </c>
      <c r="N628" s="227">
        <f t="shared" si="267"/>
        <v>0.7388610000000001</v>
      </c>
      <c r="O628" s="228">
        <f t="shared" si="268"/>
        <v>0</v>
      </c>
      <c r="P628" s="228">
        <f t="shared" si="274"/>
        <v>0</v>
      </c>
      <c r="Q628" s="1342">
        <v>0</v>
      </c>
      <c r="R628" s="512">
        <f>SUM(M589:M628)</f>
        <v>1534.84305421</v>
      </c>
    </row>
    <row r="629" spans="1:18" hidden="1" outlineLevel="1">
      <c r="A629" s="270" t="s">
        <v>819</v>
      </c>
      <c r="B629" s="1308" t="s">
        <v>434</v>
      </c>
      <c r="C629" s="1308" t="s">
        <v>435</v>
      </c>
      <c r="D629" s="1309" t="s">
        <v>431</v>
      </c>
      <c r="E629" s="1310">
        <v>1</v>
      </c>
      <c r="F629" s="1309" t="s">
        <v>868</v>
      </c>
      <c r="G629" s="1311">
        <v>1435</v>
      </c>
      <c r="H629" s="778">
        <f>SUM(I629:K629)</f>
        <v>0.11286</v>
      </c>
      <c r="I629" s="1330">
        <v>0.11286</v>
      </c>
      <c r="J629" s="1330"/>
      <c r="K629" s="1330"/>
      <c r="L629" s="1310">
        <v>1</v>
      </c>
      <c r="M629" s="772">
        <f>SUM(N629:P629)-Q629</f>
        <v>161.95410000000001</v>
      </c>
      <c r="N629" s="772">
        <f t="shared" si="267"/>
        <v>161.95410000000001</v>
      </c>
      <c r="O629" s="773">
        <f t="shared" si="268"/>
        <v>0</v>
      </c>
      <c r="P629" s="773">
        <f>E629*G629*K629*L629*15</f>
        <v>0</v>
      </c>
      <c r="Q629" s="1339">
        <v>0</v>
      </c>
      <c r="R629" s="774"/>
    </row>
    <row r="630" spans="1:18" hidden="1" outlineLevel="1">
      <c r="A630" s="270" t="s">
        <v>819</v>
      </c>
      <c r="B630" s="1312" t="s">
        <v>434</v>
      </c>
      <c r="C630" s="1312" t="s">
        <v>435</v>
      </c>
      <c r="D630" s="1313" t="s">
        <v>431</v>
      </c>
      <c r="E630" s="1314">
        <v>1</v>
      </c>
      <c r="F630" s="1319" t="s">
        <v>441</v>
      </c>
      <c r="G630" s="1315">
        <v>552.89</v>
      </c>
      <c r="H630" s="237">
        <f t="shared" ref="H630:H631" si="280">SUM(I630:K630)</f>
        <v>0.32165100000000002</v>
      </c>
      <c r="I630" s="1332">
        <v>0.19750499999999999</v>
      </c>
      <c r="J630" s="1332">
        <v>0.12414600000000001</v>
      </c>
      <c r="K630" s="1332"/>
      <c r="L630" s="1314">
        <v>1</v>
      </c>
      <c r="M630" s="223">
        <f t="shared" ref="M630:M631" si="281">SUM(N630:P630)-Q630</f>
        <v>795.58935884999994</v>
      </c>
      <c r="N630" s="223">
        <f t="shared" si="267"/>
        <v>109.19853944999998</v>
      </c>
      <c r="O630" s="224">
        <f t="shared" si="268"/>
        <v>686.39081939999994</v>
      </c>
      <c r="P630" s="224">
        <f t="shared" ref="P630:P631" si="282">E630*G630*K630*L630*15</f>
        <v>0</v>
      </c>
      <c r="Q630" s="1340">
        <v>0</v>
      </c>
    </row>
    <row r="631" spans="1:18" hidden="1" outlineLevel="1">
      <c r="A631" s="270" t="s">
        <v>819</v>
      </c>
      <c r="B631" s="1316" t="s">
        <v>434</v>
      </c>
      <c r="C631" s="1316" t="s">
        <v>435</v>
      </c>
      <c r="D631" s="1313" t="s">
        <v>431</v>
      </c>
      <c r="E631" s="1318">
        <v>1</v>
      </c>
      <c r="F631" s="1319" t="s">
        <v>442</v>
      </c>
      <c r="G631" s="1315">
        <v>4582</v>
      </c>
      <c r="H631" s="238">
        <f t="shared" si="280"/>
        <v>3.3860000000000001E-3</v>
      </c>
      <c r="I631" s="1334">
        <v>3.3860000000000001E-3</v>
      </c>
      <c r="J631" s="1334"/>
      <c r="K631" s="1334"/>
      <c r="L631" s="1318">
        <v>1</v>
      </c>
      <c r="M631" s="233">
        <f t="shared" si="281"/>
        <v>15.514652</v>
      </c>
      <c r="N631" s="233">
        <f t="shared" si="267"/>
        <v>15.514652</v>
      </c>
      <c r="O631" s="234">
        <f t="shared" si="268"/>
        <v>0</v>
      </c>
      <c r="P631" s="234">
        <f t="shared" si="282"/>
        <v>0</v>
      </c>
      <c r="Q631" s="1341">
        <v>0</v>
      </c>
    </row>
    <row r="632" spans="1:18" hidden="1" outlineLevel="1">
      <c r="A632" s="270" t="s">
        <v>819</v>
      </c>
      <c r="B632" s="1316" t="s">
        <v>434</v>
      </c>
      <c r="C632" s="1316" t="s">
        <v>435</v>
      </c>
      <c r="D632" s="1317" t="s">
        <v>431</v>
      </c>
      <c r="E632" s="1318">
        <v>1</v>
      </c>
      <c r="F632" s="1319" t="s">
        <v>443</v>
      </c>
      <c r="G632" s="1315">
        <v>2826</v>
      </c>
      <c r="H632" s="238">
        <f>SUM(I632:K632)</f>
        <v>0.25393500000000002</v>
      </c>
      <c r="I632" s="1334">
        <v>0.25393500000000002</v>
      </c>
      <c r="J632" s="1334"/>
      <c r="K632" s="1334"/>
      <c r="L632" s="1318">
        <v>1</v>
      </c>
      <c r="M632" s="233">
        <f>SUM(N632:P632)-Q632</f>
        <v>717.62031000000002</v>
      </c>
      <c r="N632" s="233">
        <f t="shared" si="267"/>
        <v>717.62031000000002</v>
      </c>
      <c r="O632" s="234">
        <f t="shared" si="268"/>
        <v>0</v>
      </c>
      <c r="P632" s="234">
        <f>E632*G632*K632*L632*15</f>
        <v>0</v>
      </c>
      <c r="Q632" s="1341">
        <v>0</v>
      </c>
    </row>
    <row r="633" spans="1:18" hidden="1" outlineLevel="1">
      <c r="A633" s="270" t="s">
        <v>819</v>
      </c>
      <c r="B633" s="1316" t="s">
        <v>434</v>
      </c>
      <c r="C633" s="1316" t="s">
        <v>435</v>
      </c>
      <c r="D633" s="1317" t="s">
        <v>431</v>
      </c>
      <c r="E633" s="1318">
        <v>1</v>
      </c>
      <c r="F633" s="1317" t="s">
        <v>444</v>
      </c>
      <c r="G633" s="1315">
        <v>12014</v>
      </c>
      <c r="H633" s="238">
        <f>SUM(I633:K633)</f>
        <v>4.2321999999999999E-2</v>
      </c>
      <c r="I633" s="1334">
        <v>1.1285999999999999E-2</v>
      </c>
      <c r="J633" s="1334">
        <v>3.1036000000000001E-2</v>
      </c>
      <c r="K633" s="1334"/>
      <c r="L633" s="1318">
        <v>1</v>
      </c>
      <c r="M633" s="233">
        <f>SUM(N633:P633)-Q633</f>
        <v>3864.2550440000005</v>
      </c>
      <c r="N633" s="233">
        <f t="shared" si="267"/>
        <v>135.59000399999999</v>
      </c>
      <c r="O633" s="234">
        <f t="shared" si="268"/>
        <v>3728.6650400000003</v>
      </c>
      <c r="P633" s="234">
        <f>E633*G633*K633*L633*15</f>
        <v>0</v>
      </c>
      <c r="Q633" s="1341">
        <v>0</v>
      </c>
    </row>
    <row r="634" spans="1:18" hidden="1" outlineLevel="1">
      <c r="A634" s="270" t="s">
        <v>819</v>
      </c>
      <c r="B634" s="1320" t="s">
        <v>434</v>
      </c>
      <c r="C634" s="1320" t="s">
        <v>435</v>
      </c>
      <c r="D634" s="1321" t="s">
        <v>431</v>
      </c>
      <c r="E634" s="1322">
        <v>1</v>
      </c>
      <c r="F634" s="1324" t="s">
        <v>445</v>
      </c>
      <c r="G634" s="1323">
        <v>24326</v>
      </c>
      <c r="H634" s="239">
        <f t="shared" ref="H634:H643" si="283">SUM(I634:K634)</f>
        <v>0</v>
      </c>
      <c r="I634" s="1336"/>
      <c r="J634" s="1336"/>
      <c r="K634" s="1336"/>
      <c r="L634" s="1322">
        <v>1</v>
      </c>
      <c r="M634" s="227">
        <f t="shared" ref="M634" si="284">SUM(N634:P634)-Q634</f>
        <v>0</v>
      </c>
      <c r="N634" s="227">
        <f t="shared" si="267"/>
        <v>0</v>
      </c>
      <c r="O634" s="228">
        <f t="shared" si="268"/>
        <v>0</v>
      </c>
      <c r="P634" s="228">
        <f t="shared" ref="P634" si="285">E634*G634*K634*L634*15</f>
        <v>0</v>
      </c>
      <c r="Q634" s="1342">
        <v>0</v>
      </c>
    </row>
    <row r="635" spans="1:18" hidden="1" outlineLevel="1">
      <c r="A635" s="270" t="s">
        <v>819</v>
      </c>
      <c r="B635" s="1308" t="s">
        <v>869</v>
      </c>
      <c r="C635" s="1308" t="s">
        <v>870</v>
      </c>
      <c r="D635" s="1309" t="s">
        <v>431</v>
      </c>
      <c r="E635" s="1310">
        <v>1</v>
      </c>
      <c r="F635" s="1450" t="s">
        <v>441</v>
      </c>
      <c r="G635" s="1315">
        <v>552.89</v>
      </c>
      <c r="H635" s="778">
        <f t="shared" ref="H635:H637" si="286">SUM(I635:K635)</f>
        <v>0</v>
      </c>
      <c r="I635" s="1489"/>
      <c r="J635" s="1489"/>
      <c r="K635" s="1489"/>
      <c r="L635" s="1310">
        <v>0.5</v>
      </c>
      <c r="M635" s="1451">
        <f t="shared" ref="M635:M639" si="287">SUM(N635:P635)-Q635</f>
        <v>0</v>
      </c>
      <c r="N635" s="1452">
        <v>0</v>
      </c>
      <c r="O635" s="1453">
        <f t="shared" ref="O635:O639" si="288">E635*G635*J635</f>
        <v>0</v>
      </c>
      <c r="P635" s="1453"/>
      <c r="Q635" s="1339">
        <v>0</v>
      </c>
    </row>
    <row r="636" spans="1:18" hidden="1" outlineLevel="1">
      <c r="A636" s="270" t="s">
        <v>819</v>
      </c>
      <c r="B636" s="1320" t="s">
        <v>869</v>
      </c>
      <c r="C636" s="1320" t="s">
        <v>870</v>
      </c>
      <c r="D636" s="1321" t="s">
        <v>431</v>
      </c>
      <c r="E636" s="1322">
        <v>1</v>
      </c>
      <c r="F636" s="1324" t="s">
        <v>442</v>
      </c>
      <c r="G636" s="1323">
        <v>4582</v>
      </c>
      <c r="H636" s="239">
        <f t="shared" si="286"/>
        <v>0</v>
      </c>
      <c r="I636" s="1482"/>
      <c r="J636" s="1482"/>
      <c r="K636" s="1482"/>
      <c r="L636" s="1322">
        <v>0.5</v>
      </c>
      <c r="M636" s="520">
        <f t="shared" si="287"/>
        <v>0</v>
      </c>
      <c r="N636" s="521">
        <v>0</v>
      </c>
      <c r="O636" s="522">
        <f t="shared" si="288"/>
        <v>0</v>
      </c>
      <c r="P636" s="522"/>
      <c r="Q636" s="1342">
        <v>0</v>
      </c>
    </row>
    <row r="637" spans="1:18" hidden="1" outlineLevel="1">
      <c r="A637" s="270" t="s">
        <v>819</v>
      </c>
      <c r="B637" s="1320" t="s">
        <v>1301</v>
      </c>
      <c r="C637" s="1320" t="s">
        <v>867</v>
      </c>
      <c r="D637" s="1321" t="s">
        <v>431</v>
      </c>
      <c r="E637" s="1322">
        <v>1.5</v>
      </c>
      <c r="F637" s="1324" t="s">
        <v>441</v>
      </c>
      <c r="G637" s="1323">
        <v>552.89</v>
      </c>
      <c r="H637" s="239">
        <f t="shared" si="286"/>
        <v>0</v>
      </c>
      <c r="I637" s="1482"/>
      <c r="J637" s="1482"/>
      <c r="K637" s="1482"/>
      <c r="L637" s="1322">
        <v>0.5</v>
      </c>
      <c r="M637" s="520">
        <f t="shared" si="287"/>
        <v>0</v>
      </c>
      <c r="N637" s="521">
        <v>0</v>
      </c>
      <c r="O637" s="522">
        <f t="shared" si="288"/>
        <v>0</v>
      </c>
      <c r="P637" s="522"/>
      <c r="Q637" s="1342">
        <v>0</v>
      </c>
    </row>
    <row r="638" spans="1:18" hidden="1" outlineLevel="1">
      <c r="A638" s="270" t="s">
        <v>819</v>
      </c>
      <c r="B638" s="1325" t="s">
        <v>620</v>
      </c>
      <c r="C638" s="1325" t="s">
        <v>621</v>
      </c>
      <c r="D638" s="1321" t="s">
        <v>431</v>
      </c>
      <c r="E638" s="1327">
        <v>1</v>
      </c>
      <c r="F638" s="1324" t="s">
        <v>441</v>
      </c>
      <c r="G638" s="1323">
        <v>552.89</v>
      </c>
      <c r="H638" s="239">
        <f t="shared" ref="H638:H639" si="289">SUM(I638:K638)</f>
        <v>0</v>
      </c>
      <c r="I638" s="1482"/>
      <c r="J638" s="1338"/>
      <c r="K638" s="1338"/>
      <c r="L638" s="1322">
        <v>0.5</v>
      </c>
      <c r="M638" s="520">
        <f t="shared" si="287"/>
        <v>0</v>
      </c>
      <c r="N638" s="521">
        <v>0</v>
      </c>
      <c r="O638" s="522">
        <f t="shared" si="288"/>
        <v>0</v>
      </c>
      <c r="P638" s="522"/>
      <c r="Q638" s="1342">
        <v>0</v>
      </c>
    </row>
    <row r="639" spans="1:18" hidden="1" outlineLevel="1">
      <c r="A639" s="270" t="s">
        <v>819</v>
      </c>
      <c r="B639" s="1325" t="s">
        <v>622</v>
      </c>
      <c r="C639" s="1325" t="s">
        <v>619</v>
      </c>
      <c r="D639" s="1321" t="s">
        <v>431</v>
      </c>
      <c r="E639" s="1327">
        <v>1</v>
      </c>
      <c r="F639" s="1324" t="s">
        <v>441</v>
      </c>
      <c r="G639" s="1323">
        <v>552.89</v>
      </c>
      <c r="H639" s="239">
        <f t="shared" si="289"/>
        <v>0</v>
      </c>
      <c r="I639" s="1482"/>
      <c r="J639" s="1338"/>
      <c r="K639" s="1338"/>
      <c r="L639" s="1322">
        <v>0.5</v>
      </c>
      <c r="M639" s="520">
        <f t="shared" si="287"/>
        <v>0</v>
      </c>
      <c r="N639" s="521">
        <v>0</v>
      </c>
      <c r="O639" s="522">
        <f t="shared" si="288"/>
        <v>0</v>
      </c>
      <c r="P639" s="522"/>
      <c r="Q639" s="1342">
        <v>0</v>
      </c>
    </row>
    <row r="640" spans="1:18" hidden="1" outlineLevel="1">
      <c r="A640" s="270" t="s">
        <v>819</v>
      </c>
      <c r="B640" s="1316" t="s">
        <v>436</v>
      </c>
      <c r="C640" s="1316" t="s">
        <v>591</v>
      </c>
      <c r="D640" s="1317" t="s">
        <v>431</v>
      </c>
      <c r="E640" s="1318">
        <v>1</v>
      </c>
      <c r="F640" s="1317" t="s">
        <v>868</v>
      </c>
      <c r="G640" s="1315">
        <v>1435</v>
      </c>
      <c r="H640" s="238">
        <f t="shared" si="283"/>
        <v>0</v>
      </c>
      <c r="I640" s="1333"/>
      <c r="J640" s="1333"/>
      <c r="K640" s="1334"/>
      <c r="L640" s="1318">
        <v>1</v>
      </c>
      <c r="M640" s="233">
        <f t="shared" ref="M640:M643" si="290">SUM(N640:P640)-Q640</f>
        <v>0</v>
      </c>
      <c r="N640" s="233">
        <f t="shared" ref="N640:N676" si="291">E640*G640*I640*L640</f>
        <v>0</v>
      </c>
      <c r="O640" s="234">
        <f t="shared" ref="O640:O676" si="292">E640*G640*J640*L640*10</f>
        <v>0</v>
      </c>
      <c r="P640" s="234">
        <f t="shared" ref="P640:P648" si="293">E640*G640*K640*L640*15</f>
        <v>0</v>
      </c>
      <c r="Q640" s="1341">
        <v>0</v>
      </c>
    </row>
    <row r="641" spans="1:17" hidden="1" outlineLevel="1">
      <c r="A641" s="270" t="s">
        <v>819</v>
      </c>
      <c r="B641" s="1316" t="s">
        <v>436</v>
      </c>
      <c r="C641" s="1316" t="s">
        <v>591</v>
      </c>
      <c r="D641" s="1317" t="s">
        <v>431</v>
      </c>
      <c r="E641" s="1318">
        <v>1</v>
      </c>
      <c r="F641" s="1319" t="s">
        <v>871</v>
      </c>
      <c r="G641" s="1315">
        <v>0.19</v>
      </c>
      <c r="H641" s="238">
        <f t="shared" ref="H641" si="294">SUM(I641:K641)</f>
        <v>0</v>
      </c>
      <c r="I641" s="1337"/>
      <c r="J641" s="1337"/>
      <c r="K641" s="1334"/>
      <c r="L641" s="1318">
        <v>1</v>
      </c>
      <c r="M641" s="233">
        <f t="shared" si="290"/>
        <v>0</v>
      </c>
      <c r="N641" s="233">
        <f t="shared" si="291"/>
        <v>0</v>
      </c>
      <c r="O641" s="234">
        <f t="shared" si="292"/>
        <v>0</v>
      </c>
      <c r="P641" s="234">
        <f t="shared" si="293"/>
        <v>0</v>
      </c>
      <c r="Q641" s="1341">
        <v>0</v>
      </c>
    </row>
    <row r="642" spans="1:17" hidden="1" outlineLevel="1">
      <c r="A642" s="270" t="s">
        <v>819</v>
      </c>
      <c r="B642" s="1316" t="s">
        <v>436</v>
      </c>
      <c r="C642" s="1316" t="s">
        <v>591</v>
      </c>
      <c r="D642" s="1317" t="s">
        <v>431</v>
      </c>
      <c r="E642" s="1318">
        <v>1</v>
      </c>
      <c r="F642" s="1319" t="s">
        <v>441</v>
      </c>
      <c r="G642" s="1315">
        <v>552.89</v>
      </c>
      <c r="H642" s="238">
        <f t="shared" si="283"/>
        <v>0</v>
      </c>
      <c r="I642" s="1333"/>
      <c r="J642" s="1333"/>
      <c r="K642" s="1334"/>
      <c r="L642" s="1318">
        <v>1</v>
      </c>
      <c r="M642" s="233">
        <f t="shared" si="290"/>
        <v>0</v>
      </c>
      <c r="N642" s="233">
        <f t="shared" si="291"/>
        <v>0</v>
      </c>
      <c r="O642" s="234">
        <f t="shared" si="292"/>
        <v>0</v>
      </c>
      <c r="P642" s="234">
        <f t="shared" si="293"/>
        <v>0</v>
      </c>
      <c r="Q642" s="1341">
        <v>0</v>
      </c>
    </row>
    <row r="643" spans="1:17" hidden="1" outlineLevel="1">
      <c r="A643" s="270" t="s">
        <v>819</v>
      </c>
      <c r="B643" s="1316" t="s">
        <v>436</v>
      </c>
      <c r="C643" s="1316" t="s">
        <v>591</v>
      </c>
      <c r="D643" s="1317" t="s">
        <v>431</v>
      </c>
      <c r="E643" s="1318">
        <v>1</v>
      </c>
      <c r="F643" s="1319" t="s">
        <v>443</v>
      </c>
      <c r="G643" s="1315">
        <v>2826</v>
      </c>
      <c r="H643" s="238">
        <f t="shared" si="283"/>
        <v>0</v>
      </c>
      <c r="I643" s="1333"/>
      <c r="J643" s="1333"/>
      <c r="K643" s="1334"/>
      <c r="L643" s="1318">
        <v>1</v>
      </c>
      <c r="M643" s="233">
        <f t="shared" si="290"/>
        <v>0</v>
      </c>
      <c r="N643" s="233">
        <f t="shared" si="291"/>
        <v>0</v>
      </c>
      <c r="O643" s="234">
        <f t="shared" si="292"/>
        <v>0</v>
      </c>
      <c r="P643" s="234">
        <f t="shared" si="293"/>
        <v>0</v>
      </c>
      <c r="Q643" s="1341">
        <v>0</v>
      </c>
    </row>
    <row r="644" spans="1:17" hidden="1" outlineLevel="1">
      <c r="A644" s="270" t="s">
        <v>819</v>
      </c>
      <c r="B644" s="1320" t="s">
        <v>436</v>
      </c>
      <c r="C644" s="1320" t="s">
        <v>591</v>
      </c>
      <c r="D644" s="1321" t="s">
        <v>431</v>
      </c>
      <c r="E644" s="1322">
        <v>1</v>
      </c>
      <c r="F644" s="1324" t="s">
        <v>444</v>
      </c>
      <c r="G644" s="1323">
        <v>12014</v>
      </c>
      <c r="H644" s="239">
        <f t="shared" ref="H644:H648" si="295">SUM(I644:K644)</f>
        <v>0</v>
      </c>
      <c r="I644" s="1335"/>
      <c r="J644" s="1335"/>
      <c r="K644" s="1336"/>
      <c r="L644" s="1322">
        <v>1</v>
      </c>
      <c r="M644" s="227">
        <f t="shared" ref="M644:M648" si="296">SUM(N644:P644)-Q644</f>
        <v>0</v>
      </c>
      <c r="N644" s="227">
        <f t="shared" si="291"/>
        <v>0</v>
      </c>
      <c r="O644" s="228">
        <f t="shared" si="292"/>
        <v>0</v>
      </c>
      <c r="P644" s="228">
        <f t="shared" si="293"/>
        <v>0</v>
      </c>
      <c r="Q644" s="1342">
        <v>0</v>
      </c>
    </row>
    <row r="645" spans="1:17" hidden="1" outlineLevel="1">
      <c r="A645" s="270" t="s">
        <v>819</v>
      </c>
      <c r="B645" s="1316" t="s">
        <v>437</v>
      </c>
      <c r="C645" s="1316" t="s">
        <v>592</v>
      </c>
      <c r="D645" s="1317" t="s">
        <v>431</v>
      </c>
      <c r="E645" s="1318">
        <v>1</v>
      </c>
      <c r="F645" s="1317" t="s">
        <v>868</v>
      </c>
      <c r="G645" s="1315">
        <v>1435</v>
      </c>
      <c r="H645" s="238">
        <f t="shared" si="295"/>
        <v>2.7599999999999999E-4</v>
      </c>
      <c r="I645" s="1333">
        <v>2.7599999999999999E-4</v>
      </c>
      <c r="J645" s="1333"/>
      <c r="K645" s="1334"/>
      <c r="L645" s="1318">
        <v>0.5</v>
      </c>
      <c r="M645" s="233">
        <f t="shared" si="296"/>
        <v>0.19802999999999998</v>
      </c>
      <c r="N645" s="233">
        <f t="shared" si="291"/>
        <v>0.19802999999999998</v>
      </c>
      <c r="O645" s="234">
        <f t="shared" si="292"/>
        <v>0</v>
      </c>
      <c r="P645" s="234">
        <f t="shared" si="293"/>
        <v>0</v>
      </c>
      <c r="Q645" s="1341">
        <v>0</v>
      </c>
    </row>
    <row r="646" spans="1:17" hidden="1" outlineLevel="1">
      <c r="A646" s="270" t="s">
        <v>819</v>
      </c>
      <c r="B646" s="1316" t="s">
        <v>437</v>
      </c>
      <c r="C646" s="1316" t="s">
        <v>592</v>
      </c>
      <c r="D646" s="1317" t="s">
        <v>431</v>
      </c>
      <c r="E646" s="1318">
        <v>1</v>
      </c>
      <c r="F646" s="1319" t="s">
        <v>441</v>
      </c>
      <c r="G646" s="1315">
        <v>552.89</v>
      </c>
      <c r="H646" s="238">
        <f t="shared" si="295"/>
        <v>2.3699999999999999E-4</v>
      </c>
      <c r="I646" s="1333">
        <v>2.3699999999999999E-4</v>
      </c>
      <c r="J646" s="1333"/>
      <c r="K646" s="1334"/>
      <c r="L646" s="1318">
        <v>0.5</v>
      </c>
      <c r="M646" s="233">
        <f t="shared" si="296"/>
        <v>6.5517464999999997E-2</v>
      </c>
      <c r="N646" s="233">
        <f t="shared" si="291"/>
        <v>6.5517464999999997E-2</v>
      </c>
      <c r="O646" s="234">
        <f t="shared" si="292"/>
        <v>0</v>
      </c>
      <c r="P646" s="234">
        <f t="shared" si="293"/>
        <v>0</v>
      </c>
      <c r="Q646" s="1341">
        <v>0</v>
      </c>
    </row>
    <row r="647" spans="1:17" hidden="1" outlineLevel="1">
      <c r="A647" s="270" t="s">
        <v>819</v>
      </c>
      <c r="B647" s="1316" t="s">
        <v>437</v>
      </c>
      <c r="C647" s="1316" t="s">
        <v>592</v>
      </c>
      <c r="D647" s="1317" t="s">
        <v>431</v>
      </c>
      <c r="E647" s="1318">
        <v>1</v>
      </c>
      <c r="F647" s="1319" t="s">
        <v>443</v>
      </c>
      <c r="G647" s="1315">
        <v>2826</v>
      </c>
      <c r="H647" s="238">
        <f t="shared" si="295"/>
        <v>2.5300000000000002E-4</v>
      </c>
      <c r="I647" s="1333">
        <v>2.5300000000000002E-4</v>
      </c>
      <c r="J647" s="1333"/>
      <c r="K647" s="1334"/>
      <c r="L647" s="1318">
        <v>0.5</v>
      </c>
      <c r="M647" s="233">
        <f t="shared" si="296"/>
        <v>0.35748900000000006</v>
      </c>
      <c r="N647" s="233">
        <f t="shared" si="291"/>
        <v>0.35748900000000006</v>
      </c>
      <c r="O647" s="234">
        <f t="shared" si="292"/>
        <v>0</v>
      </c>
      <c r="P647" s="234">
        <f t="shared" si="293"/>
        <v>0</v>
      </c>
      <c r="Q647" s="1341">
        <v>0</v>
      </c>
    </row>
    <row r="648" spans="1:17" hidden="1" outlineLevel="1">
      <c r="A648" s="270" t="s">
        <v>819</v>
      </c>
      <c r="B648" s="1320" t="s">
        <v>437</v>
      </c>
      <c r="C648" s="1320" t="s">
        <v>592</v>
      </c>
      <c r="D648" s="1321" t="s">
        <v>431</v>
      </c>
      <c r="E648" s="1322">
        <v>1</v>
      </c>
      <c r="F648" s="1324" t="s">
        <v>444</v>
      </c>
      <c r="G648" s="1323">
        <v>12014</v>
      </c>
      <c r="H648" s="239">
        <f t="shared" si="295"/>
        <v>1.2999999999999999E-5</v>
      </c>
      <c r="I648" s="1335">
        <v>1.2999999999999999E-5</v>
      </c>
      <c r="J648" s="1335"/>
      <c r="K648" s="1336"/>
      <c r="L648" s="1322">
        <v>0.5</v>
      </c>
      <c r="M648" s="227">
        <f t="shared" si="296"/>
        <v>7.8090999999999994E-2</v>
      </c>
      <c r="N648" s="227">
        <f t="shared" si="291"/>
        <v>7.8090999999999994E-2</v>
      </c>
      <c r="O648" s="228">
        <f t="shared" si="292"/>
        <v>0</v>
      </c>
      <c r="P648" s="228">
        <f t="shared" si="293"/>
        <v>0</v>
      </c>
      <c r="Q648" s="1342">
        <v>0</v>
      </c>
    </row>
    <row r="649" spans="1:17" hidden="1" outlineLevel="1">
      <c r="A649" s="270" t="s">
        <v>819</v>
      </c>
      <c r="B649" s="1316" t="s">
        <v>438</v>
      </c>
      <c r="C649" s="1316" t="s">
        <v>593</v>
      </c>
      <c r="D649" s="1317" t="s">
        <v>431</v>
      </c>
      <c r="E649" s="1318">
        <v>1</v>
      </c>
      <c r="F649" s="1319" t="s">
        <v>868</v>
      </c>
      <c r="G649" s="1315">
        <v>1435</v>
      </c>
      <c r="H649" s="238">
        <f>SUM(I649:K649)</f>
        <v>8.7200000000000003E-3</v>
      </c>
      <c r="I649" s="1334">
        <v>8.175E-3</v>
      </c>
      <c r="J649" s="1334">
        <v>5.4500000000000002E-4</v>
      </c>
      <c r="K649" s="1334"/>
      <c r="L649" s="1318">
        <v>1</v>
      </c>
      <c r="M649" s="233">
        <f>SUM(N649:P649)-Q649</f>
        <v>19.551875000000003</v>
      </c>
      <c r="N649" s="233">
        <f t="shared" si="291"/>
        <v>11.731125</v>
      </c>
      <c r="O649" s="234">
        <f t="shared" si="292"/>
        <v>7.8207500000000003</v>
      </c>
      <c r="P649" s="234">
        <f>E649*G649*K649*L649*15</f>
        <v>0</v>
      </c>
      <c r="Q649" s="1341">
        <v>0</v>
      </c>
    </row>
    <row r="650" spans="1:17" hidden="1" outlineLevel="1">
      <c r="A650" s="270" t="s">
        <v>819</v>
      </c>
      <c r="B650" s="1316" t="s">
        <v>438</v>
      </c>
      <c r="C650" s="1316" t="s">
        <v>593</v>
      </c>
      <c r="D650" s="1317" t="s">
        <v>431</v>
      </c>
      <c r="E650" s="1318">
        <v>1</v>
      </c>
      <c r="F650" s="1319" t="s">
        <v>441</v>
      </c>
      <c r="G650" s="1315">
        <v>552.89</v>
      </c>
      <c r="H650" s="238">
        <f t="shared" ref="H650" si="297">SUM(I650:K650)</f>
        <v>4.36E-2</v>
      </c>
      <c r="I650" s="1334">
        <v>8.175E-3</v>
      </c>
      <c r="J650" s="1334">
        <v>3.5424999999999998E-2</v>
      </c>
      <c r="K650" s="1334"/>
      <c r="L650" s="1318">
        <v>1</v>
      </c>
      <c r="M650" s="233">
        <f t="shared" ref="M650" si="298">SUM(N650:P650)-Q650</f>
        <v>200.38115825</v>
      </c>
      <c r="N650" s="233">
        <f t="shared" si="291"/>
        <v>4.5198757499999997</v>
      </c>
      <c r="O650" s="234">
        <f t="shared" si="292"/>
        <v>195.86128249999999</v>
      </c>
      <c r="P650" s="234">
        <f t="shared" ref="P650:P670" si="299">E650*G650*K650*L650*15</f>
        <v>0</v>
      </c>
      <c r="Q650" s="1341">
        <v>0</v>
      </c>
    </row>
    <row r="651" spans="1:17" hidden="1" outlineLevel="1">
      <c r="A651" s="270" t="s">
        <v>819</v>
      </c>
      <c r="B651" s="1316" t="s">
        <v>438</v>
      </c>
      <c r="C651" s="1316" t="s">
        <v>593</v>
      </c>
      <c r="D651" s="1317" t="s">
        <v>431</v>
      </c>
      <c r="E651" s="1318">
        <v>1</v>
      </c>
      <c r="F651" s="1319" t="s">
        <v>442</v>
      </c>
      <c r="G651" s="1315">
        <v>4582</v>
      </c>
      <c r="H651" s="238">
        <f t="shared" ref="H651:H661" si="300">SUM(I651:K651)</f>
        <v>3.2699999999999998E-4</v>
      </c>
      <c r="I651" s="1334">
        <v>3.2699999999999998E-4</v>
      </c>
      <c r="J651" s="1334"/>
      <c r="K651" s="1334"/>
      <c r="L651" s="1318">
        <v>1</v>
      </c>
      <c r="M651" s="233">
        <f t="shared" ref="M651:M661" si="301">SUM(N651:P651)-Q651</f>
        <v>1.4983139999999999</v>
      </c>
      <c r="N651" s="233">
        <f t="shared" si="291"/>
        <v>1.4983139999999999</v>
      </c>
      <c r="O651" s="234">
        <f t="shared" si="292"/>
        <v>0</v>
      </c>
      <c r="P651" s="234">
        <f t="shared" si="299"/>
        <v>0</v>
      </c>
      <c r="Q651" s="1341">
        <v>0</v>
      </c>
    </row>
    <row r="652" spans="1:17" hidden="1" outlineLevel="1">
      <c r="A652" s="270" t="s">
        <v>819</v>
      </c>
      <c r="B652" s="1316" t="s">
        <v>438</v>
      </c>
      <c r="C652" s="1316" t="s">
        <v>593</v>
      </c>
      <c r="D652" s="1317" t="s">
        <v>431</v>
      </c>
      <c r="E652" s="1318">
        <v>1</v>
      </c>
      <c r="F652" s="1319" t="s">
        <v>443</v>
      </c>
      <c r="G652" s="1315">
        <v>2826</v>
      </c>
      <c r="H652" s="238">
        <f t="shared" si="300"/>
        <v>5.9950000000000003E-3</v>
      </c>
      <c r="I652" s="1334">
        <v>5.9950000000000003E-3</v>
      </c>
      <c r="J652" s="1334"/>
      <c r="K652" s="1334"/>
      <c r="L652" s="1318">
        <v>1</v>
      </c>
      <c r="M652" s="233">
        <f t="shared" si="301"/>
        <v>16.941870000000002</v>
      </c>
      <c r="N652" s="233">
        <f t="shared" si="291"/>
        <v>16.941870000000002</v>
      </c>
      <c r="O652" s="234">
        <f t="shared" si="292"/>
        <v>0</v>
      </c>
      <c r="P652" s="234">
        <f t="shared" si="299"/>
        <v>0</v>
      </c>
      <c r="Q652" s="1341">
        <v>0</v>
      </c>
    </row>
    <row r="653" spans="1:17" hidden="1" outlineLevel="1">
      <c r="A653" s="270" t="s">
        <v>819</v>
      </c>
      <c r="B653" s="1316" t="s">
        <v>438</v>
      </c>
      <c r="C653" s="1316" t="s">
        <v>593</v>
      </c>
      <c r="D653" s="1317" t="s">
        <v>431</v>
      </c>
      <c r="E653" s="1318">
        <v>1</v>
      </c>
      <c r="F653" s="1319" t="s">
        <v>444</v>
      </c>
      <c r="G653" s="1315">
        <v>12014</v>
      </c>
      <c r="H653" s="238">
        <f t="shared" si="300"/>
        <v>1.0349999999999999E-3</v>
      </c>
      <c r="I653" s="1334">
        <v>2.72E-4</v>
      </c>
      <c r="J653" s="1334">
        <v>7.6300000000000001E-4</v>
      </c>
      <c r="K653" s="1334"/>
      <c r="L653" s="1318">
        <v>1</v>
      </c>
      <c r="M653" s="233">
        <f t="shared" si="301"/>
        <v>94.934628000000004</v>
      </c>
      <c r="N653" s="233">
        <f t="shared" si="291"/>
        <v>3.267808</v>
      </c>
      <c r="O653" s="234">
        <f t="shared" si="292"/>
        <v>91.666820000000001</v>
      </c>
      <c r="P653" s="234">
        <f t="shared" si="299"/>
        <v>0</v>
      </c>
      <c r="Q653" s="1341">
        <v>0</v>
      </c>
    </row>
    <row r="654" spans="1:17" hidden="1" outlineLevel="1">
      <c r="A654" s="270" t="s">
        <v>819</v>
      </c>
      <c r="B654" s="1320" t="s">
        <v>438</v>
      </c>
      <c r="C654" s="1320" t="s">
        <v>593</v>
      </c>
      <c r="D654" s="1321" t="s">
        <v>431</v>
      </c>
      <c r="E654" s="1322">
        <v>1</v>
      </c>
      <c r="F654" s="1324" t="s">
        <v>445</v>
      </c>
      <c r="G654" s="1323">
        <v>24326</v>
      </c>
      <c r="H654" s="239">
        <f t="shared" si="300"/>
        <v>0</v>
      </c>
      <c r="I654" s="1336"/>
      <c r="J654" s="1336"/>
      <c r="K654" s="1336"/>
      <c r="L654" s="1322">
        <v>1</v>
      </c>
      <c r="M654" s="227">
        <f t="shared" si="301"/>
        <v>0</v>
      </c>
      <c r="N654" s="227">
        <f t="shared" si="291"/>
        <v>0</v>
      </c>
      <c r="O654" s="228">
        <f t="shared" si="292"/>
        <v>0</v>
      </c>
      <c r="P654" s="228">
        <f t="shared" si="299"/>
        <v>0</v>
      </c>
      <c r="Q654" s="1342">
        <v>0</v>
      </c>
    </row>
    <row r="655" spans="1:17" hidden="1" outlineLevel="1">
      <c r="A655" s="270" t="s">
        <v>819</v>
      </c>
      <c r="B655" s="1316" t="s">
        <v>418</v>
      </c>
      <c r="C655" s="1316" t="s">
        <v>439</v>
      </c>
      <c r="D655" s="1317" t="s">
        <v>431</v>
      </c>
      <c r="E655" s="1318">
        <v>1.5</v>
      </c>
      <c r="F655" s="1319" t="s">
        <v>868</v>
      </c>
      <c r="G655" s="1315">
        <v>1435</v>
      </c>
      <c r="H655" s="238">
        <f t="shared" si="300"/>
        <v>5.0480000000000004E-3</v>
      </c>
      <c r="I655" s="1333">
        <v>5.0480000000000004E-3</v>
      </c>
      <c r="J655" s="1333"/>
      <c r="K655" s="1334"/>
      <c r="L655" s="1318">
        <v>0.5</v>
      </c>
      <c r="M655" s="233">
        <f t="shared" si="301"/>
        <v>5.4329100000000006</v>
      </c>
      <c r="N655" s="233">
        <f t="shared" si="291"/>
        <v>5.4329100000000006</v>
      </c>
      <c r="O655" s="234">
        <f t="shared" si="292"/>
        <v>0</v>
      </c>
      <c r="P655" s="234">
        <f t="shared" si="299"/>
        <v>0</v>
      </c>
      <c r="Q655" s="1341">
        <v>0</v>
      </c>
    </row>
    <row r="656" spans="1:17" hidden="1" outlineLevel="1">
      <c r="A656" s="270" t="s">
        <v>819</v>
      </c>
      <c r="B656" s="1316" t="s">
        <v>418</v>
      </c>
      <c r="C656" s="1316" t="s">
        <v>439</v>
      </c>
      <c r="D656" s="1317" t="s">
        <v>431</v>
      </c>
      <c r="E656" s="1318">
        <v>1.5</v>
      </c>
      <c r="F656" s="1319" t="s">
        <v>441</v>
      </c>
      <c r="G656" s="1315">
        <v>552.89</v>
      </c>
      <c r="H656" s="238">
        <f t="shared" si="300"/>
        <v>4.1704999999999999E-2</v>
      </c>
      <c r="I656" s="1333">
        <v>4.1704999999999999E-2</v>
      </c>
      <c r="J656" s="1333"/>
      <c r="K656" s="1334"/>
      <c r="L656" s="1318">
        <v>0.5</v>
      </c>
      <c r="M656" s="233">
        <f t="shared" si="301"/>
        <v>17.293708087500001</v>
      </c>
      <c r="N656" s="233">
        <f t="shared" si="291"/>
        <v>17.293708087500001</v>
      </c>
      <c r="O656" s="234">
        <f t="shared" si="292"/>
        <v>0</v>
      </c>
      <c r="P656" s="234">
        <f t="shared" si="299"/>
        <v>0</v>
      </c>
      <c r="Q656" s="1341">
        <v>0</v>
      </c>
    </row>
    <row r="657" spans="1:18" hidden="1" outlineLevel="1">
      <c r="A657" s="270" t="s">
        <v>819</v>
      </c>
      <c r="B657" s="1316" t="s">
        <v>418</v>
      </c>
      <c r="C657" s="1316" t="s">
        <v>439</v>
      </c>
      <c r="D657" s="1317" t="s">
        <v>431</v>
      </c>
      <c r="E657" s="1318">
        <v>1.5</v>
      </c>
      <c r="F657" s="1319" t="s">
        <v>442</v>
      </c>
      <c r="G657" s="1315">
        <v>4582</v>
      </c>
      <c r="H657" s="238">
        <f t="shared" si="300"/>
        <v>1.756E-3</v>
      </c>
      <c r="I657" s="1333">
        <v>1.756E-3</v>
      </c>
      <c r="J657" s="1333"/>
      <c r="K657" s="1334"/>
      <c r="L657" s="1318">
        <v>0.5</v>
      </c>
      <c r="M657" s="233">
        <f t="shared" si="301"/>
        <v>6.0344939999999996</v>
      </c>
      <c r="N657" s="233">
        <f t="shared" si="291"/>
        <v>6.0344939999999996</v>
      </c>
      <c r="O657" s="234">
        <f t="shared" si="292"/>
        <v>0</v>
      </c>
      <c r="P657" s="234">
        <f t="shared" si="299"/>
        <v>0</v>
      </c>
      <c r="Q657" s="1341">
        <v>0</v>
      </c>
    </row>
    <row r="658" spans="1:18" hidden="1" outlineLevel="1">
      <c r="A658" s="270" t="s">
        <v>819</v>
      </c>
      <c r="B658" s="1316" t="s">
        <v>418</v>
      </c>
      <c r="C658" s="1316" t="s">
        <v>439</v>
      </c>
      <c r="D658" s="1317" t="s">
        <v>431</v>
      </c>
      <c r="E658" s="1318">
        <v>1.5</v>
      </c>
      <c r="F658" s="1319" t="s">
        <v>443</v>
      </c>
      <c r="G658" s="1315">
        <v>2826</v>
      </c>
      <c r="H658" s="238">
        <f t="shared" si="300"/>
        <v>6.8040000000000002E-3</v>
      </c>
      <c r="I658" s="1333">
        <v>6.8040000000000002E-3</v>
      </c>
      <c r="J658" s="1333"/>
      <c r="K658" s="1334"/>
      <c r="L658" s="1318">
        <v>0.5</v>
      </c>
      <c r="M658" s="233">
        <f t="shared" si="301"/>
        <v>14.421078</v>
      </c>
      <c r="N658" s="233">
        <f t="shared" si="291"/>
        <v>14.421078</v>
      </c>
      <c r="O658" s="234">
        <f t="shared" si="292"/>
        <v>0</v>
      </c>
      <c r="P658" s="234">
        <f t="shared" si="299"/>
        <v>0</v>
      </c>
      <c r="Q658" s="1341">
        <v>0</v>
      </c>
    </row>
    <row r="659" spans="1:18" hidden="1" outlineLevel="1">
      <c r="A659" s="270" t="s">
        <v>819</v>
      </c>
      <c r="B659" s="1316" t="s">
        <v>418</v>
      </c>
      <c r="C659" s="1316" t="s">
        <v>439</v>
      </c>
      <c r="D659" s="1317" t="s">
        <v>431</v>
      </c>
      <c r="E659" s="1318">
        <v>1.5</v>
      </c>
      <c r="F659" s="1319" t="s">
        <v>444</v>
      </c>
      <c r="G659" s="1315">
        <v>12014</v>
      </c>
      <c r="H659" s="238">
        <f t="shared" si="300"/>
        <v>3.0699999999999998E-4</v>
      </c>
      <c r="I659" s="1333">
        <v>3.0699999999999998E-4</v>
      </c>
      <c r="J659" s="1333"/>
      <c r="K659" s="1334"/>
      <c r="L659" s="1318">
        <v>0.5</v>
      </c>
      <c r="M659" s="233">
        <f t="shared" si="301"/>
        <v>2.7662234999999997</v>
      </c>
      <c r="N659" s="233">
        <f t="shared" si="291"/>
        <v>2.7662234999999997</v>
      </c>
      <c r="O659" s="234">
        <f t="shared" si="292"/>
        <v>0</v>
      </c>
      <c r="P659" s="234">
        <f t="shared" si="299"/>
        <v>0</v>
      </c>
      <c r="Q659" s="1341">
        <v>0</v>
      </c>
    </row>
    <row r="660" spans="1:18" hidden="1" outlineLevel="1">
      <c r="A660" s="270" t="s">
        <v>819</v>
      </c>
      <c r="B660" s="1320" t="s">
        <v>418</v>
      </c>
      <c r="C660" s="1320" t="s">
        <v>439</v>
      </c>
      <c r="D660" s="1321" t="s">
        <v>431</v>
      </c>
      <c r="E660" s="1322">
        <v>1.5</v>
      </c>
      <c r="F660" s="1324" t="s">
        <v>445</v>
      </c>
      <c r="G660" s="1323">
        <v>24326</v>
      </c>
      <c r="H660" s="239">
        <f t="shared" si="300"/>
        <v>0</v>
      </c>
      <c r="I660" s="1335"/>
      <c r="J660" s="1335"/>
      <c r="K660" s="1336"/>
      <c r="L660" s="1322">
        <v>0.5</v>
      </c>
      <c r="M660" s="227">
        <f t="shared" si="301"/>
        <v>0</v>
      </c>
      <c r="N660" s="227">
        <f t="shared" si="291"/>
        <v>0</v>
      </c>
      <c r="O660" s="228">
        <f t="shared" si="292"/>
        <v>0</v>
      </c>
      <c r="P660" s="228">
        <f t="shared" si="299"/>
        <v>0</v>
      </c>
      <c r="Q660" s="1342">
        <v>0</v>
      </c>
    </row>
    <row r="661" spans="1:18" hidden="1" outlineLevel="1">
      <c r="A661" s="270" t="s">
        <v>819</v>
      </c>
      <c r="B661" s="1316" t="s">
        <v>411</v>
      </c>
      <c r="C661" s="1316" t="s">
        <v>440</v>
      </c>
      <c r="D661" s="1317" t="s">
        <v>431</v>
      </c>
      <c r="E661" s="1318">
        <v>1.5</v>
      </c>
      <c r="F661" s="1319" t="s">
        <v>868</v>
      </c>
      <c r="G661" s="1315">
        <v>1435</v>
      </c>
      <c r="H661" s="238">
        <f t="shared" si="300"/>
        <v>1.2324E-2</v>
      </c>
      <c r="I661" s="1333">
        <v>1.2324E-2</v>
      </c>
      <c r="J661" s="1333"/>
      <c r="K661" s="1334"/>
      <c r="L661" s="1318">
        <v>0.5</v>
      </c>
      <c r="M661" s="233">
        <f t="shared" si="301"/>
        <v>13.263705</v>
      </c>
      <c r="N661" s="233">
        <f t="shared" si="291"/>
        <v>13.263705</v>
      </c>
      <c r="O661" s="234">
        <f t="shared" si="292"/>
        <v>0</v>
      </c>
      <c r="P661" s="234">
        <f t="shared" si="299"/>
        <v>0</v>
      </c>
      <c r="Q661" s="1341">
        <v>0</v>
      </c>
    </row>
    <row r="662" spans="1:18" hidden="1" outlineLevel="1">
      <c r="A662" s="270" t="s">
        <v>819</v>
      </c>
      <c r="B662" s="1316" t="s">
        <v>411</v>
      </c>
      <c r="C662" s="1316" t="s">
        <v>440</v>
      </c>
      <c r="D662" s="1317" t="s">
        <v>431</v>
      </c>
      <c r="E662" s="1318">
        <v>1.5</v>
      </c>
      <c r="F662" s="1317" t="s">
        <v>441</v>
      </c>
      <c r="G662" s="1315">
        <v>552.89</v>
      </c>
      <c r="H662" s="238">
        <f t="shared" ref="H662" si="302">SUM(I662:K662)</f>
        <v>1.2324E-2</v>
      </c>
      <c r="I662" s="1333">
        <v>1.2324E-2</v>
      </c>
      <c r="J662" s="1333"/>
      <c r="K662" s="1334"/>
      <c r="L662" s="1318">
        <v>0.5</v>
      </c>
      <c r="M662" s="233">
        <f t="shared" ref="M662:M670" si="303">SUM(N662:P662)-Q662</f>
        <v>5.1103622700000004</v>
      </c>
      <c r="N662" s="233">
        <f t="shared" si="291"/>
        <v>5.1103622700000004</v>
      </c>
      <c r="O662" s="234">
        <f t="shared" si="292"/>
        <v>0</v>
      </c>
      <c r="P662" s="234">
        <f t="shared" si="299"/>
        <v>0</v>
      </c>
      <c r="Q662" s="1341">
        <v>0</v>
      </c>
    </row>
    <row r="663" spans="1:18" hidden="1" outlineLevel="1">
      <c r="A663" s="270" t="s">
        <v>819</v>
      </c>
      <c r="B663" s="1316" t="s">
        <v>411</v>
      </c>
      <c r="C663" s="1316" t="s">
        <v>440</v>
      </c>
      <c r="D663" s="1317" t="s">
        <v>431</v>
      </c>
      <c r="E663" s="1318">
        <v>1.5</v>
      </c>
      <c r="F663" s="1319" t="s">
        <v>442</v>
      </c>
      <c r="G663" s="1315">
        <v>4582</v>
      </c>
      <c r="H663" s="238">
        <f>SUM(I663:K663)</f>
        <v>0</v>
      </c>
      <c r="I663" s="1333"/>
      <c r="J663" s="1333"/>
      <c r="K663" s="1334"/>
      <c r="L663" s="1318">
        <v>0.5</v>
      </c>
      <c r="M663" s="233">
        <f t="shared" si="303"/>
        <v>0</v>
      </c>
      <c r="N663" s="233">
        <f t="shared" si="291"/>
        <v>0</v>
      </c>
      <c r="O663" s="234">
        <f t="shared" si="292"/>
        <v>0</v>
      </c>
      <c r="P663" s="234">
        <f t="shared" si="299"/>
        <v>0</v>
      </c>
      <c r="Q663" s="1341">
        <v>0</v>
      </c>
    </row>
    <row r="664" spans="1:18" hidden="1" outlineLevel="1">
      <c r="A664" s="270" t="s">
        <v>819</v>
      </c>
      <c r="B664" s="1316" t="s">
        <v>411</v>
      </c>
      <c r="C664" s="1316" t="s">
        <v>440</v>
      </c>
      <c r="D664" s="1317" t="s">
        <v>431</v>
      </c>
      <c r="E664" s="1318">
        <v>1.5</v>
      </c>
      <c r="F664" s="1319" t="s">
        <v>443</v>
      </c>
      <c r="G664" s="1315">
        <v>2826</v>
      </c>
      <c r="H664" s="238">
        <f t="shared" ref="H664:H670" si="304">SUM(I664:K664)</f>
        <v>9.8589999999999997E-3</v>
      </c>
      <c r="I664" s="1333">
        <v>9.8589999999999997E-3</v>
      </c>
      <c r="J664" s="1333"/>
      <c r="K664" s="1334"/>
      <c r="L664" s="1318">
        <v>0.5</v>
      </c>
      <c r="M664" s="233">
        <f t="shared" si="303"/>
        <v>20.896150500000001</v>
      </c>
      <c r="N664" s="233">
        <f t="shared" si="291"/>
        <v>20.896150500000001</v>
      </c>
      <c r="O664" s="234">
        <f t="shared" si="292"/>
        <v>0</v>
      </c>
      <c r="P664" s="234">
        <f t="shared" si="299"/>
        <v>0</v>
      </c>
      <c r="Q664" s="1341">
        <v>0</v>
      </c>
    </row>
    <row r="665" spans="1:18" hidden="1" outlineLevel="1">
      <c r="A665" s="270" t="s">
        <v>819</v>
      </c>
      <c r="B665" s="1320" t="s">
        <v>411</v>
      </c>
      <c r="C665" s="1320" t="s">
        <v>440</v>
      </c>
      <c r="D665" s="1321" t="s">
        <v>431</v>
      </c>
      <c r="E665" s="1322">
        <v>1.5</v>
      </c>
      <c r="F665" s="1324" t="s">
        <v>444</v>
      </c>
      <c r="G665" s="1323">
        <v>12014</v>
      </c>
      <c r="H665" s="239">
        <f t="shared" si="304"/>
        <v>7.9100000000000004E-4</v>
      </c>
      <c r="I665" s="1335">
        <v>7.9100000000000004E-4</v>
      </c>
      <c r="J665" s="1335"/>
      <c r="K665" s="1336"/>
      <c r="L665" s="1322">
        <v>0.5</v>
      </c>
      <c r="M665" s="227">
        <f t="shared" si="303"/>
        <v>7.1273055000000003</v>
      </c>
      <c r="N665" s="227">
        <f t="shared" si="291"/>
        <v>7.1273055000000003</v>
      </c>
      <c r="O665" s="228">
        <f t="shared" si="292"/>
        <v>0</v>
      </c>
      <c r="P665" s="228">
        <f t="shared" si="299"/>
        <v>0</v>
      </c>
      <c r="Q665" s="1342">
        <v>0</v>
      </c>
    </row>
    <row r="666" spans="1:18" hidden="1" outlineLevel="1">
      <c r="A666" s="270" t="s">
        <v>819</v>
      </c>
      <c r="B666" s="1316" t="s">
        <v>409</v>
      </c>
      <c r="C666" s="1316" t="s">
        <v>594</v>
      </c>
      <c r="D666" s="1317" t="s">
        <v>431</v>
      </c>
      <c r="E666" s="1318">
        <v>1</v>
      </c>
      <c r="F666" s="1319" t="s">
        <v>868</v>
      </c>
      <c r="G666" s="1315">
        <v>1435</v>
      </c>
      <c r="H666" s="238">
        <f t="shared" si="304"/>
        <v>7.2300000000000001E-4</v>
      </c>
      <c r="I666" s="1333">
        <v>7.2300000000000001E-4</v>
      </c>
      <c r="J666" s="1333"/>
      <c r="K666" s="1334"/>
      <c r="L666" s="1318">
        <v>0.5</v>
      </c>
      <c r="M666" s="233">
        <f t="shared" si="303"/>
        <v>0.51875250000000006</v>
      </c>
      <c r="N666" s="233">
        <f t="shared" si="291"/>
        <v>0.51875250000000006</v>
      </c>
      <c r="O666" s="234">
        <f t="shared" si="292"/>
        <v>0</v>
      </c>
      <c r="P666" s="234">
        <f t="shared" si="299"/>
        <v>0</v>
      </c>
      <c r="Q666" s="1341">
        <v>0</v>
      </c>
    </row>
    <row r="667" spans="1:18" hidden="1" outlineLevel="1">
      <c r="A667" s="270" t="s">
        <v>819</v>
      </c>
      <c r="B667" s="1316" t="s">
        <v>409</v>
      </c>
      <c r="C667" s="1316" t="s">
        <v>594</v>
      </c>
      <c r="D667" s="1317" t="s">
        <v>431</v>
      </c>
      <c r="E667" s="1318">
        <v>1</v>
      </c>
      <c r="F667" s="1317" t="s">
        <v>441</v>
      </c>
      <c r="G667" s="1315">
        <v>552.89</v>
      </c>
      <c r="H667" s="238">
        <f t="shared" si="304"/>
        <v>1.446E-3</v>
      </c>
      <c r="I667" s="1333">
        <v>1.446E-3</v>
      </c>
      <c r="J667" s="1333"/>
      <c r="K667" s="1334"/>
      <c r="L667" s="1318">
        <v>0.5</v>
      </c>
      <c r="M667" s="233">
        <f t="shared" si="303"/>
        <v>0.39973946999999999</v>
      </c>
      <c r="N667" s="233">
        <f t="shared" si="291"/>
        <v>0.39973946999999999</v>
      </c>
      <c r="O667" s="234">
        <f t="shared" si="292"/>
        <v>0</v>
      </c>
      <c r="P667" s="234">
        <f t="shared" si="299"/>
        <v>0</v>
      </c>
      <c r="Q667" s="1341">
        <v>0</v>
      </c>
    </row>
    <row r="668" spans="1:18" hidden="1" outlineLevel="1">
      <c r="A668" s="270" t="s">
        <v>819</v>
      </c>
      <c r="B668" s="1316" t="s">
        <v>409</v>
      </c>
      <c r="C668" s="1316" t="s">
        <v>594</v>
      </c>
      <c r="D668" s="1317" t="s">
        <v>431</v>
      </c>
      <c r="E668" s="1318">
        <v>1</v>
      </c>
      <c r="F668" s="1319" t="s">
        <v>442</v>
      </c>
      <c r="G668" s="1315">
        <v>4582</v>
      </c>
      <c r="H668" s="238">
        <f t="shared" si="304"/>
        <v>0</v>
      </c>
      <c r="I668" s="1333"/>
      <c r="J668" s="1333"/>
      <c r="K668" s="1334"/>
      <c r="L668" s="1318">
        <v>0.5</v>
      </c>
      <c r="M668" s="233">
        <f t="shared" si="303"/>
        <v>0</v>
      </c>
      <c r="N668" s="233">
        <f t="shared" si="291"/>
        <v>0</v>
      </c>
      <c r="O668" s="234">
        <f t="shared" si="292"/>
        <v>0</v>
      </c>
      <c r="P668" s="234">
        <f t="shared" si="299"/>
        <v>0</v>
      </c>
      <c r="Q668" s="1341">
        <v>0</v>
      </c>
    </row>
    <row r="669" spans="1:18" hidden="1" outlineLevel="1">
      <c r="A669" s="270" t="s">
        <v>819</v>
      </c>
      <c r="B669" s="1316" t="s">
        <v>409</v>
      </c>
      <c r="C669" s="1316" t="s">
        <v>594</v>
      </c>
      <c r="D669" s="1317" t="s">
        <v>431</v>
      </c>
      <c r="E669" s="1318">
        <v>1</v>
      </c>
      <c r="F669" s="1319" t="s">
        <v>443</v>
      </c>
      <c r="G669" s="1315">
        <v>2826</v>
      </c>
      <c r="H669" s="238">
        <f t="shared" si="304"/>
        <v>1.1568E-2</v>
      </c>
      <c r="I669" s="1333">
        <v>1.1568E-2</v>
      </c>
      <c r="J669" s="1333"/>
      <c r="K669" s="1334"/>
      <c r="L669" s="1318">
        <v>0.5</v>
      </c>
      <c r="M669" s="235">
        <f t="shared" si="303"/>
        <v>16.345583999999999</v>
      </c>
      <c r="N669" s="233">
        <f t="shared" si="291"/>
        <v>16.345583999999999</v>
      </c>
      <c r="O669" s="234">
        <f t="shared" si="292"/>
        <v>0</v>
      </c>
      <c r="P669" s="234">
        <f t="shared" si="299"/>
        <v>0</v>
      </c>
      <c r="Q669" s="1341">
        <v>0</v>
      </c>
    </row>
    <row r="670" spans="1:18" hidden="1" outlineLevel="1">
      <c r="A670" s="191" t="s">
        <v>819</v>
      </c>
      <c r="B670" s="1320" t="s">
        <v>409</v>
      </c>
      <c r="C670" s="1320" t="s">
        <v>594</v>
      </c>
      <c r="D670" s="1321" t="s">
        <v>431</v>
      </c>
      <c r="E670" s="1322">
        <v>1</v>
      </c>
      <c r="F670" s="1324" t="s">
        <v>444</v>
      </c>
      <c r="G670" s="1323">
        <v>12014</v>
      </c>
      <c r="H670" s="239">
        <f t="shared" si="304"/>
        <v>1.2999999999999999E-4</v>
      </c>
      <c r="I670" s="1335">
        <v>1.2999999999999999E-4</v>
      </c>
      <c r="J670" s="1335"/>
      <c r="K670" s="1336"/>
      <c r="L670" s="1322">
        <v>0.5</v>
      </c>
      <c r="M670" s="267">
        <f t="shared" si="303"/>
        <v>0.78090999999999988</v>
      </c>
      <c r="N670" s="227">
        <f t="shared" si="291"/>
        <v>0.78090999999999988</v>
      </c>
      <c r="O670" s="228">
        <f t="shared" si="292"/>
        <v>0</v>
      </c>
      <c r="P670" s="228">
        <f t="shared" si="299"/>
        <v>0</v>
      </c>
      <c r="Q670" s="1342">
        <v>0</v>
      </c>
      <c r="R670" s="512">
        <f>SUM(M629:M670)</f>
        <v>5999.3313603925026</v>
      </c>
    </row>
    <row r="671" spans="1:18" hidden="1" outlineLevel="1">
      <c r="A671" s="270" t="s">
        <v>819</v>
      </c>
      <c r="B671" s="1308" t="s">
        <v>434</v>
      </c>
      <c r="C671" s="1308" t="s">
        <v>435</v>
      </c>
      <c r="D671" s="1309" t="s">
        <v>432</v>
      </c>
      <c r="E671" s="1310">
        <v>1</v>
      </c>
      <c r="F671" s="1309" t="s">
        <v>868</v>
      </c>
      <c r="G671" s="1311">
        <v>1435</v>
      </c>
      <c r="H671" s="778">
        <f>SUM(I671:K671)</f>
        <v>4.8963E-2</v>
      </c>
      <c r="I671" s="1330">
        <v>4.8963E-2</v>
      </c>
      <c r="J671" s="1330"/>
      <c r="K671" s="1330"/>
      <c r="L671" s="1310">
        <v>1</v>
      </c>
      <c r="M671" s="772">
        <f>SUM(N671:P671)-Q671</f>
        <v>70.261904999999999</v>
      </c>
      <c r="N671" s="772">
        <f t="shared" si="291"/>
        <v>70.261904999999999</v>
      </c>
      <c r="O671" s="773">
        <f t="shared" si="292"/>
        <v>0</v>
      </c>
      <c r="P671" s="773">
        <f>E671*G671*K671*L671*15</f>
        <v>0</v>
      </c>
      <c r="Q671" s="1339">
        <v>0</v>
      </c>
      <c r="R671" s="774"/>
    </row>
    <row r="672" spans="1:18" hidden="1" outlineLevel="1">
      <c r="A672" s="270" t="s">
        <v>819</v>
      </c>
      <c r="B672" s="1312" t="s">
        <v>434</v>
      </c>
      <c r="C672" s="1312" t="s">
        <v>435</v>
      </c>
      <c r="D672" s="1313" t="s">
        <v>432</v>
      </c>
      <c r="E672" s="1314">
        <v>1</v>
      </c>
      <c r="F672" s="1319" t="s">
        <v>441</v>
      </c>
      <c r="G672" s="1315">
        <v>552.89</v>
      </c>
      <c r="H672" s="237">
        <f t="shared" ref="H672:H673" si="305">SUM(I672:K672)</f>
        <v>7.7896000000000007E-2</v>
      </c>
      <c r="I672" s="1332">
        <v>7.7896000000000007E-2</v>
      </c>
      <c r="J672" s="1332"/>
      <c r="K672" s="1332"/>
      <c r="L672" s="1314">
        <v>1</v>
      </c>
      <c r="M672" s="223">
        <f t="shared" ref="M672:M673" si="306">SUM(N672:P672)-Q672</f>
        <v>43.067919440000004</v>
      </c>
      <c r="N672" s="223">
        <f t="shared" si="291"/>
        <v>43.067919440000004</v>
      </c>
      <c r="O672" s="224">
        <f t="shared" si="292"/>
        <v>0</v>
      </c>
      <c r="P672" s="224">
        <f t="shared" ref="P672:P673" si="307">E672*G672*K672*L672*15</f>
        <v>0</v>
      </c>
      <c r="Q672" s="1340">
        <v>0</v>
      </c>
    </row>
    <row r="673" spans="1:17" hidden="1" outlineLevel="1">
      <c r="A673" s="270" t="s">
        <v>819</v>
      </c>
      <c r="B673" s="1316" t="s">
        <v>434</v>
      </c>
      <c r="C673" s="1316" t="s">
        <v>435</v>
      </c>
      <c r="D673" s="1313" t="s">
        <v>432</v>
      </c>
      <c r="E673" s="1318">
        <v>1</v>
      </c>
      <c r="F673" s="1319" t="s">
        <v>442</v>
      </c>
      <c r="G673" s="1315">
        <v>4582</v>
      </c>
      <c r="H673" s="238">
        <f t="shared" si="305"/>
        <v>5.5640000000000004E-3</v>
      </c>
      <c r="I673" s="1334">
        <v>5.5640000000000004E-3</v>
      </c>
      <c r="J673" s="1334"/>
      <c r="K673" s="1334"/>
      <c r="L673" s="1318">
        <v>1</v>
      </c>
      <c r="M673" s="233">
        <f t="shared" si="306"/>
        <v>25.494248000000002</v>
      </c>
      <c r="N673" s="233">
        <f t="shared" si="291"/>
        <v>25.494248000000002</v>
      </c>
      <c r="O673" s="234">
        <f t="shared" si="292"/>
        <v>0</v>
      </c>
      <c r="P673" s="234">
        <f t="shared" si="307"/>
        <v>0</v>
      </c>
      <c r="Q673" s="1341">
        <v>0</v>
      </c>
    </row>
    <row r="674" spans="1:17" hidden="1" outlineLevel="1">
      <c r="A674" s="270" t="s">
        <v>819</v>
      </c>
      <c r="B674" s="1316" t="s">
        <v>434</v>
      </c>
      <c r="C674" s="1316" t="s">
        <v>435</v>
      </c>
      <c r="D674" s="1317" t="s">
        <v>432</v>
      </c>
      <c r="E674" s="1318">
        <v>1</v>
      </c>
      <c r="F674" s="1319" t="s">
        <v>443</v>
      </c>
      <c r="G674" s="1315">
        <v>2826</v>
      </c>
      <c r="H674" s="238">
        <f>SUM(I674:K674)</f>
        <v>0.205868</v>
      </c>
      <c r="I674" s="1334">
        <v>0.205868</v>
      </c>
      <c r="J674" s="1334"/>
      <c r="K674" s="1334"/>
      <c r="L674" s="1318">
        <v>1</v>
      </c>
      <c r="M674" s="233">
        <f>SUM(N674:P674)-Q674</f>
        <v>581.78296799999998</v>
      </c>
      <c r="N674" s="233">
        <f t="shared" si="291"/>
        <v>581.78296799999998</v>
      </c>
      <c r="O674" s="234">
        <f t="shared" si="292"/>
        <v>0</v>
      </c>
      <c r="P674" s="234">
        <f>E674*G674*K674*L674*15</f>
        <v>0</v>
      </c>
      <c r="Q674" s="1341">
        <v>0</v>
      </c>
    </row>
    <row r="675" spans="1:17" hidden="1" outlineLevel="1">
      <c r="A675" s="270" t="s">
        <v>819</v>
      </c>
      <c r="B675" s="1316" t="s">
        <v>434</v>
      </c>
      <c r="C675" s="1316" t="s">
        <v>435</v>
      </c>
      <c r="D675" s="1317" t="s">
        <v>432</v>
      </c>
      <c r="E675" s="1318">
        <v>1</v>
      </c>
      <c r="F675" s="1317" t="s">
        <v>444</v>
      </c>
      <c r="G675" s="1315">
        <v>12014</v>
      </c>
      <c r="H675" s="238">
        <f>SUM(I675:K675)</f>
        <v>4.3399E-2</v>
      </c>
      <c r="I675" s="1334">
        <v>1.1128000000000001E-2</v>
      </c>
      <c r="J675" s="1334">
        <v>3.2271000000000001E-2</v>
      </c>
      <c r="K675" s="1334"/>
      <c r="L675" s="1318">
        <v>1</v>
      </c>
      <c r="M675" s="233">
        <f>SUM(N675:P675)-Q675</f>
        <v>4010.7297320000002</v>
      </c>
      <c r="N675" s="233">
        <f t="shared" si="291"/>
        <v>133.69179200000002</v>
      </c>
      <c r="O675" s="234">
        <f t="shared" si="292"/>
        <v>3877.0379400000002</v>
      </c>
      <c r="P675" s="234">
        <f>E675*G675*K675*L675*15</f>
        <v>0</v>
      </c>
      <c r="Q675" s="1341">
        <v>0</v>
      </c>
    </row>
    <row r="676" spans="1:17" hidden="1" outlineLevel="1">
      <c r="A676" s="270" t="s">
        <v>819</v>
      </c>
      <c r="B676" s="1320" t="s">
        <v>434</v>
      </c>
      <c r="C676" s="1320" t="s">
        <v>435</v>
      </c>
      <c r="D676" s="1321" t="s">
        <v>432</v>
      </c>
      <c r="E676" s="1322">
        <v>1</v>
      </c>
      <c r="F676" s="1324" t="s">
        <v>445</v>
      </c>
      <c r="G676" s="1323">
        <v>24326</v>
      </c>
      <c r="H676" s="239">
        <f t="shared" ref="H676:H683" si="308">SUM(I676:K676)</f>
        <v>0</v>
      </c>
      <c r="I676" s="1336"/>
      <c r="J676" s="1336"/>
      <c r="K676" s="1336"/>
      <c r="L676" s="1322">
        <v>1</v>
      </c>
      <c r="M676" s="227">
        <f t="shared" ref="M676" si="309">SUM(N676:P676)-Q676</f>
        <v>0</v>
      </c>
      <c r="N676" s="227">
        <f t="shared" si="291"/>
        <v>0</v>
      </c>
      <c r="O676" s="228">
        <f t="shared" si="292"/>
        <v>0</v>
      </c>
      <c r="P676" s="228">
        <f t="shared" ref="P676" si="310">E676*G676*K676*L676*15</f>
        <v>0</v>
      </c>
      <c r="Q676" s="1342">
        <v>0</v>
      </c>
    </row>
    <row r="677" spans="1:17" hidden="1" outlineLevel="1">
      <c r="A677" s="270" t="s">
        <v>819</v>
      </c>
      <c r="B677" s="1320" t="s">
        <v>869</v>
      </c>
      <c r="C677" s="1320" t="s">
        <v>870</v>
      </c>
      <c r="D677" s="1321" t="s">
        <v>432</v>
      </c>
      <c r="E677" s="1322">
        <v>1</v>
      </c>
      <c r="F677" s="1324" t="s">
        <v>442</v>
      </c>
      <c r="G677" s="1323">
        <v>4582</v>
      </c>
      <c r="H677" s="239">
        <f t="shared" ref="H677:H680" si="311">SUM(I677:K677)</f>
        <v>0</v>
      </c>
      <c r="I677" s="1482"/>
      <c r="J677" s="1482"/>
      <c r="K677" s="1482"/>
      <c r="L677" s="1322">
        <v>0.5</v>
      </c>
      <c r="M677" s="520">
        <f t="shared" ref="M677:M680" si="312">SUM(N677:P677)-Q677</f>
        <v>0</v>
      </c>
      <c r="N677" s="521">
        <v>0</v>
      </c>
      <c r="O677" s="522">
        <f t="shared" ref="O677:O680" si="313">E677*G677*J677</f>
        <v>0</v>
      </c>
      <c r="P677" s="522"/>
      <c r="Q677" s="1342">
        <v>0</v>
      </c>
    </row>
    <row r="678" spans="1:17" hidden="1" outlineLevel="1">
      <c r="A678" s="270" t="s">
        <v>819</v>
      </c>
      <c r="B678" s="1320" t="s">
        <v>1301</v>
      </c>
      <c r="C678" s="1320" t="s">
        <v>867</v>
      </c>
      <c r="D678" s="1321" t="s">
        <v>432</v>
      </c>
      <c r="E678" s="1322">
        <v>1.5</v>
      </c>
      <c r="F678" s="1324" t="s">
        <v>441</v>
      </c>
      <c r="G678" s="1323">
        <v>552.89</v>
      </c>
      <c r="H678" s="239">
        <f t="shared" si="311"/>
        <v>0</v>
      </c>
      <c r="I678" s="1482"/>
      <c r="J678" s="1482"/>
      <c r="K678" s="1482"/>
      <c r="L678" s="1322">
        <v>0.5</v>
      </c>
      <c r="M678" s="520">
        <f t="shared" si="312"/>
        <v>0</v>
      </c>
      <c r="N678" s="521">
        <v>0</v>
      </c>
      <c r="O678" s="522">
        <f t="shared" si="313"/>
        <v>0</v>
      </c>
      <c r="P678" s="522"/>
      <c r="Q678" s="1342">
        <v>0</v>
      </c>
    </row>
    <row r="679" spans="1:17" hidden="1" outlineLevel="1">
      <c r="A679" s="270" t="s">
        <v>819</v>
      </c>
      <c r="B679" s="1325" t="s">
        <v>620</v>
      </c>
      <c r="C679" s="1325" t="s">
        <v>621</v>
      </c>
      <c r="D679" s="1321" t="s">
        <v>432</v>
      </c>
      <c r="E679" s="1327">
        <v>1</v>
      </c>
      <c r="F679" s="1324" t="s">
        <v>441</v>
      </c>
      <c r="G679" s="1323">
        <v>552.89</v>
      </c>
      <c r="H679" s="239">
        <f t="shared" si="311"/>
        <v>0</v>
      </c>
      <c r="I679" s="1482"/>
      <c r="J679" s="1338"/>
      <c r="K679" s="1338"/>
      <c r="L679" s="1322">
        <v>0.5</v>
      </c>
      <c r="M679" s="520">
        <f t="shared" si="312"/>
        <v>0</v>
      </c>
      <c r="N679" s="521">
        <v>0</v>
      </c>
      <c r="O679" s="522">
        <f t="shared" si="313"/>
        <v>0</v>
      </c>
      <c r="P679" s="522"/>
      <c r="Q679" s="1342">
        <v>0</v>
      </c>
    </row>
    <row r="680" spans="1:17" hidden="1" outlineLevel="1">
      <c r="A680" s="270" t="s">
        <v>819</v>
      </c>
      <c r="B680" s="1325" t="s">
        <v>622</v>
      </c>
      <c r="C680" s="1325" t="s">
        <v>619</v>
      </c>
      <c r="D680" s="1321" t="s">
        <v>432</v>
      </c>
      <c r="E680" s="1327">
        <v>1</v>
      </c>
      <c r="F680" s="1324" t="s">
        <v>441</v>
      </c>
      <c r="G680" s="1323">
        <v>552.89</v>
      </c>
      <c r="H680" s="239">
        <f t="shared" si="311"/>
        <v>0</v>
      </c>
      <c r="I680" s="1482"/>
      <c r="J680" s="1338"/>
      <c r="K680" s="1338"/>
      <c r="L680" s="1322">
        <v>0.5</v>
      </c>
      <c r="M680" s="520">
        <f t="shared" si="312"/>
        <v>0</v>
      </c>
      <c r="N680" s="521">
        <v>0</v>
      </c>
      <c r="O680" s="522">
        <f t="shared" si="313"/>
        <v>0</v>
      </c>
      <c r="P680" s="522"/>
      <c r="Q680" s="1342">
        <v>0</v>
      </c>
    </row>
    <row r="681" spans="1:17" hidden="1" outlineLevel="1">
      <c r="A681" s="270" t="s">
        <v>819</v>
      </c>
      <c r="B681" s="1316" t="s">
        <v>436</v>
      </c>
      <c r="C681" s="1316" t="s">
        <v>591</v>
      </c>
      <c r="D681" s="1317" t="s">
        <v>432</v>
      </c>
      <c r="E681" s="1318">
        <v>1</v>
      </c>
      <c r="F681" s="1317" t="s">
        <v>868</v>
      </c>
      <c r="G681" s="1315">
        <v>1435</v>
      </c>
      <c r="H681" s="238">
        <f t="shared" si="308"/>
        <v>0</v>
      </c>
      <c r="I681" s="1333"/>
      <c r="J681" s="1333"/>
      <c r="K681" s="1334"/>
      <c r="L681" s="1318">
        <v>1</v>
      </c>
      <c r="M681" s="233">
        <f t="shared" ref="M681:M683" si="314">SUM(N681:P681)-Q681</f>
        <v>0</v>
      </c>
      <c r="N681" s="233">
        <f t="shared" ref="N681:N716" si="315">E681*G681*I681*L681</f>
        <v>0</v>
      </c>
      <c r="O681" s="234">
        <f t="shared" ref="O681:O716" si="316">E681*G681*J681*L681*10</f>
        <v>0</v>
      </c>
      <c r="P681" s="234">
        <f t="shared" ref="P681:P688" si="317">E681*G681*K681*L681*15</f>
        <v>0</v>
      </c>
      <c r="Q681" s="1341">
        <v>0</v>
      </c>
    </row>
    <row r="682" spans="1:17" hidden="1" outlineLevel="1">
      <c r="A682" s="270" t="s">
        <v>819</v>
      </c>
      <c r="B682" s="1316" t="s">
        <v>436</v>
      </c>
      <c r="C682" s="1316" t="s">
        <v>591</v>
      </c>
      <c r="D682" s="1317" t="s">
        <v>432</v>
      </c>
      <c r="E682" s="1318">
        <v>1</v>
      </c>
      <c r="F682" s="1319" t="s">
        <v>441</v>
      </c>
      <c r="G682" s="1315">
        <v>552.89</v>
      </c>
      <c r="H682" s="238">
        <f t="shared" si="308"/>
        <v>0</v>
      </c>
      <c r="I682" s="1333"/>
      <c r="J682" s="1333"/>
      <c r="K682" s="1334"/>
      <c r="L682" s="1318">
        <v>1</v>
      </c>
      <c r="M682" s="233">
        <f t="shared" si="314"/>
        <v>0</v>
      </c>
      <c r="N682" s="233">
        <f t="shared" si="315"/>
        <v>0</v>
      </c>
      <c r="O682" s="234">
        <f t="shared" si="316"/>
        <v>0</v>
      </c>
      <c r="P682" s="234">
        <f t="shared" si="317"/>
        <v>0</v>
      </c>
      <c r="Q682" s="1341">
        <v>0</v>
      </c>
    </row>
    <row r="683" spans="1:17" hidden="1" outlineLevel="1">
      <c r="A683" s="270" t="s">
        <v>819</v>
      </c>
      <c r="B683" s="1316" t="s">
        <v>436</v>
      </c>
      <c r="C683" s="1316" t="s">
        <v>591</v>
      </c>
      <c r="D683" s="1317" t="s">
        <v>432</v>
      </c>
      <c r="E683" s="1318">
        <v>1</v>
      </c>
      <c r="F683" s="1319" t="s">
        <v>443</v>
      </c>
      <c r="G683" s="1315">
        <v>2826</v>
      </c>
      <c r="H683" s="238">
        <f t="shared" si="308"/>
        <v>0</v>
      </c>
      <c r="I683" s="1333"/>
      <c r="J683" s="1333"/>
      <c r="K683" s="1334"/>
      <c r="L683" s="1318">
        <v>1</v>
      </c>
      <c r="M683" s="233">
        <f t="shared" si="314"/>
        <v>0</v>
      </c>
      <c r="N683" s="233">
        <f t="shared" si="315"/>
        <v>0</v>
      </c>
      <c r="O683" s="234">
        <f t="shared" si="316"/>
        <v>0</v>
      </c>
      <c r="P683" s="234">
        <f t="shared" si="317"/>
        <v>0</v>
      </c>
      <c r="Q683" s="1341">
        <v>0</v>
      </c>
    </row>
    <row r="684" spans="1:17" hidden="1" outlineLevel="1">
      <c r="A684" s="270" t="s">
        <v>819</v>
      </c>
      <c r="B684" s="1320" t="s">
        <v>436</v>
      </c>
      <c r="C684" s="1320" t="s">
        <v>591</v>
      </c>
      <c r="D684" s="1321" t="s">
        <v>432</v>
      </c>
      <c r="E684" s="1322">
        <v>1</v>
      </c>
      <c r="F684" s="1324" t="s">
        <v>444</v>
      </c>
      <c r="G684" s="1323">
        <v>12014</v>
      </c>
      <c r="H684" s="239">
        <f t="shared" ref="H684:H688" si="318">SUM(I684:K684)</f>
        <v>0</v>
      </c>
      <c r="I684" s="1335"/>
      <c r="J684" s="1335"/>
      <c r="K684" s="1336"/>
      <c r="L684" s="1322">
        <v>1</v>
      </c>
      <c r="M684" s="227">
        <f t="shared" ref="M684:M688" si="319">SUM(N684:P684)-Q684</f>
        <v>0</v>
      </c>
      <c r="N684" s="227">
        <f t="shared" si="315"/>
        <v>0</v>
      </c>
      <c r="O684" s="228">
        <f t="shared" si="316"/>
        <v>0</v>
      </c>
      <c r="P684" s="228">
        <f t="shared" si="317"/>
        <v>0</v>
      </c>
      <c r="Q684" s="1342">
        <v>0</v>
      </c>
    </row>
    <row r="685" spans="1:17" hidden="1" outlineLevel="1">
      <c r="A685" s="270" t="s">
        <v>819</v>
      </c>
      <c r="B685" s="1316" t="s">
        <v>437</v>
      </c>
      <c r="C685" s="1316" t="s">
        <v>592</v>
      </c>
      <c r="D685" s="1317" t="s">
        <v>432</v>
      </c>
      <c r="E685" s="1318">
        <v>1</v>
      </c>
      <c r="F685" s="1317" t="s">
        <v>868</v>
      </c>
      <c r="G685" s="1315">
        <v>1435</v>
      </c>
      <c r="H685" s="238">
        <f t="shared" si="318"/>
        <v>3.6299999999999999E-4</v>
      </c>
      <c r="I685" s="1333">
        <v>3.6299999999999999E-4</v>
      </c>
      <c r="J685" s="1333"/>
      <c r="K685" s="1334"/>
      <c r="L685" s="1318">
        <v>0.5</v>
      </c>
      <c r="M685" s="233">
        <f t="shared" si="319"/>
        <v>0.26045249999999998</v>
      </c>
      <c r="N685" s="233">
        <f t="shared" si="315"/>
        <v>0.26045249999999998</v>
      </c>
      <c r="O685" s="234">
        <f t="shared" si="316"/>
        <v>0</v>
      </c>
      <c r="P685" s="234">
        <f t="shared" si="317"/>
        <v>0</v>
      </c>
      <c r="Q685" s="1341">
        <v>0</v>
      </c>
    </row>
    <row r="686" spans="1:17" hidden="1" outlineLevel="1">
      <c r="A686" s="270" t="s">
        <v>819</v>
      </c>
      <c r="B686" s="1316" t="s">
        <v>437</v>
      </c>
      <c r="C686" s="1316" t="s">
        <v>592</v>
      </c>
      <c r="D686" s="1317" t="s">
        <v>432</v>
      </c>
      <c r="E686" s="1318">
        <v>1</v>
      </c>
      <c r="F686" s="1319" t="s">
        <v>441</v>
      </c>
      <c r="G686" s="1315">
        <v>552.89</v>
      </c>
      <c r="H686" s="238">
        <f t="shared" si="318"/>
        <v>3.8499999999999998E-4</v>
      </c>
      <c r="I686" s="1333">
        <v>3.8499999999999998E-4</v>
      </c>
      <c r="J686" s="1333"/>
      <c r="K686" s="1334"/>
      <c r="L686" s="1318">
        <v>0.5</v>
      </c>
      <c r="M686" s="233">
        <f t="shared" si="319"/>
        <v>0.10643132499999999</v>
      </c>
      <c r="N686" s="233">
        <f t="shared" si="315"/>
        <v>0.10643132499999999</v>
      </c>
      <c r="O686" s="234">
        <f t="shared" si="316"/>
        <v>0</v>
      </c>
      <c r="P686" s="234">
        <f t="shared" si="317"/>
        <v>0</v>
      </c>
      <c r="Q686" s="1341">
        <v>0</v>
      </c>
    </row>
    <row r="687" spans="1:17" hidden="1" outlineLevel="1">
      <c r="A687" s="270" t="s">
        <v>819</v>
      </c>
      <c r="B687" s="1316" t="s">
        <v>437</v>
      </c>
      <c r="C687" s="1316" t="s">
        <v>592</v>
      </c>
      <c r="D687" s="1317" t="s">
        <v>432</v>
      </c>
      <c r="E687" s="1318">
        <v>1</v>
      </c>
      <c r="F687" s="1319" t="s">
        <v>443</v>
      </c>
      <c r="G687" s="1315">
        <v>2826</v>
      </c>
      <c r="H687" s="238">
        <f t="shared" si="318"/>
        <v>9.8999999999999994E-5</v>
      </c>
      <c r="I687" s="1333">
        <v>9.8999999999999994E-5</v>
      </c>
      <c r="J687" s="1333"/>
      <c r="K687" s="1334"/>
      <c r="L687" s="1318">
        <v>0.5</v>
      </c>
      <c r="M687" s="233">
        <f t="shared" si="319"/>
        <v>0.13988699999999998</v>
      </c>
      <c r="N687" s="233">
        <f t="shared" si="315"/>
        <v>0.13988699999999998</v>
      </c>
      <c r="O687" s="234">
        <f t="shared" si="316"/>
        <v>0</v>
      </c>
      <c r="P687" s="234">
        <f t="shared" si="317"/>
        <v>0</v>
      </c>
      <c r="Q687" s="1341">
        <v>0</v>
      </c>
    </row>
    <row r="688" spans="1:17" hidden="1" outlineLevel="1">
      <c r="A688" s="270" t="s">
        <v>819</v>
      </c>
      <c r="B688" s="1320" t="s">
        <v>437</v>
      </c>
      <c r="C688" s="1320" t="s">
        <v>592</v>
      </c>
      <c r="D688" s="1321" t="s">
        <v>432</v>
      </c>
      <c r="E688" s="1322">
        <v>1</v>
      </c>
      <c r="F688" s="1324" t="s">
        <v>444</v>
      </c>
      <c r="G688" s="1323">
        <v>12014</v>
      </c>
      <c r="H688" s="239">
        <f t="shared" si="318"/>
        <v>1.9000000000000001E-5</v>
      </c>
      <c r="I688" s="1335">
        <v>1.9000000000000001E-5</v>
      </c>
      <c r="J688" s="1335"/>
      <c r="K688" s="1336"/>
      <c r="L688" s="1322">
        <v>0.5</v>
      </c>
      <c r="M688" s="227">
        <f t="shared" si="319"/>
        <v>0.11413300000000001</v>
      </c>
      <c r="N688" s="227">
        <f t="shared" si="315"/>
        <v>0.11413300000000001</v>
      </c>
      <c r="O688" s="228">
        <f t="shared" si="316"/>
        <v>0</v>
      </c>
      <c r="P688" s="228">
        <f t="shared" si="317"/>
        <v>0</v>
      </c>
      <c r="Q688" s="1342">
        <v>0</v>
      </c>
    </row>
    <row r="689" spans="1:18" hidden="1" outlineLevel="1">
      <c r="A689" s="270" t="s">
        <v>819</v>
      </c>
      <c r="B689" s="1316" t="s">
        <v>438</v>
      </c>
      <c r="C689" s="1316" t="s">
        <v>593</v>
      </c>
      <c r="D689" s="1317" t="s">
        <v>432</v>
      </c>
      <c r="E689" s="1318">
        <v>1</v>
      </c>
      <c r="F689" s="1319" t="s">
        <v>868</v>
      </c>
      <c r="G689" s="1315">
        <v>1435</v>
      </c>
      <c r="H689" s="238">
        <f>SUM(I689:K689)</f>
        <v>8.4150000000000006E-3</v>
      </c>
      <c r="I689" s="1334">
        <v>8.4150000000000006E-3</v>
      </c>
      <c r="J689" s="1334"/>
      <c r="K689" s="1334"/>
      <c r="L689" s="1318">
        <v>1</v>
      </c>
      <c r="M689" s="233">
        <f>SUM(N689:P689)-Q689</f>
        <v>12.075525000000001</v>
      </c>
      <c r="N689" s="233">
        <f t="shared" si="315"/>
        <v>12.075525000000001</v>
      </c>
      <c r="O689" s="234">
        <f t="shared" si="316"/>
        <v>0</v>
      </c>
      <c r="P689" s="234">
        <f>E689*G689*K689*L689*15</f>
        <v>0</v>
      </c>
      <c r="Q689" s="1341">
        <v>0</v>
      </c>
    </row>
    <row r="690" spans="1:18" hidden="1" outlineLevel="1">
      <c r="A690" s="270" t="s">
        <v>819</v>
      </c>
      <c r="B690" s="1316" t="s">
        <v>438</v>
      </c>
      <c r="C690" s="1316" t="s">
        <v>593</v>
      </c>
      <c r="D690" s="1317" t="s">
        <v>432</v>
      </c>
      <c r="E690" s="1318">
        <v>1</v>
      </c>
      <c r="F690" s="1319" t="s">
        <v>441</v>
      </c>
      <c r="G690" s="1315">
        <v>552.89</v>
      </c>
      <c r="H690" s="238">
        <f t="shared" ref="H690" si="320">SUM(I690:K690)</f>
        <v>1.7952000000000003E-2</v>
      </c>
      <c r="I690" s="1334">
        <v>8.4150000000000006E-3</v>
      </c>
      <c r="J690" s="1334">
        <v>9.5370000000000003E-3</v>
      </c>
      <c r="K690" s="1334"/>
      <c r="L690" s="1318">
        <v>1</v>
      </c>
      <c r="M690" s="233">
        <f t="shared" ref="M690" si="321">SUM(N690:P690)-Q690</f>
        <v>57.381688650000001</v>
      </c>
      <c r="N690" s="233">
        <f t="shared" si="315"/>
        <v>4.6525693500000003</v>
      </c>
      <c r="O690" s="234">
        <f t="shared" si="316"/>
        <v>52.729119300000001</v>
      </c>
      <c r="P690" s="234">
        <f t="shared" ref="P690:P710" si="322">E690*G690*K690*L690*15</f>
        <v>0</v>
      </c>
      <c r="Q690" s="1341">
        <v>0</v>
      </c>
    </row>
    <row r="691" spans="1:18" hidden="1" outlineLevel="1">
      <c r="A691" s="270" t="s">
        <v>819</v>
      </c>
      <c r="B691" s="1316" t="s">
        <v>438</v>
      </c>
      <c r="C691" s="1316" t="s">
        <v>593</v>
      </c>
      <c r="D691" s="1317" t="s">
        <v>432</v>
      </c>
      <c r="E691" s="1318">
        <v>1</v>
      </c>
      <c r="F691" s="1319" t="s">
        <v>442</v>
      </c>
      <c r="G691" s="1315">
        <v>4582</v>
      </c>
      <c r="H691" s="238">
        <f t="shared" ref="H691:H701" si="323">SUM(I691:K691)</f>
        <v>1.683E-3</v>
      </c>
      <c r="I691" s="1334">
        <v>5.6099999999999998E-4</v>
      </c>
      <c r="J691" s="1334">
        <v>1.122E-3</v>
      </c>
      <c r="K691" s="1334"/>
      <c r="L691" s="1318">
        <v>1</v>
      </c>
      <c r="M691" s="233">
        <f t="shared" ref="M691:M701" si="324">SUM(N691:P691)-Q691</f>
        <v>53.980541999999993</v>
      </c>
      <c r="N691" s="233">
        <f t="shared" si="315"/>
        <v>2.5705019999999998</v>
      </c>
      <c r="O691" s="234">
        <f t="shared" si="316"/>
        <v>51.410039999999995</v>
      </c>
      <c r="P691" s="234">
        <f t="shared" si="322"/>
        <v>0</v>
      </c>
      <c r="Q691" s="1341">
        <v>0</v>
      </c>
    </row>
    <row r="692" spans="1:18" hidden="1" outlineLevel="1">
      <c r="A692" s="270" t="s">
        <v>819</v>
      </c>
      <c r="B692" s="1316" t="s">
        <v>438</v>
      </c>
      <c r="C692" s="1316" t="s">
        <v>593</v>
      </c>
      <c r="D692" s="1317" t="s">
        <v>432</v>
      </c>
      <c r="E692" s="1318">
        <v>1</v>
      </c>
      <c r="F692" s="1319" t="s">
        <v>443</v>
      </c>
      <c r="G692" s="1315">
        <v>2826</v>
      </c>
      <c r="H692" s="238">
        <f t="shared" si="323"/>
        <v>9.5370000000000003E-3</v>
      </c>
      <c r="I692" s="1334">
        <v>8.4150000000000006E-3</v>
      </c>
      <c r="J692" s="1334">
        <v>1.122E-3</v>
      </c>
      <c r="K692" s="1334"/>
      <c r="L692" s="1318">
        <v>1</v>
      </c>
      <c r="M692" s="233">
        <f t="shared" si="324"/>
        <v>55.488510000000005</v>
      </c>
      <c r="N692" s="233">
        <f t="shared" si="315"/>
        <v>23.780790000000003</v>
      </c>
      <c r="O692" s="234">
        <f t="shared" si="316"/>
        <v>31.707719999999998</v>
      </c>
      <c r="P692" s="234">
        <f t="shared" si="322"/>
        <v>0</v>
      </c>
      <c r="Q692" s="1341">
        <v>0</v>
      </c>
    </row>
    <row r="693" spans="1:18" hidden="1" outlineLevel="1">
      <c r="A693" s="270" t="s">
        <v>819</v>
      </c>
      <c r="B693" s="1316" t="s">
        <v>438</v>
      </c>
      <c r="C693" s="1316" t="s">
        <v>593</v>
      </c>
      <c r="D693" s="1317" t="s">
        <v>432</v>
      </c>
      <c r="E693" s="1318">
        <v>1</v>
      </c>
      <c r="F693" s="1319" t="s">
        <v>444</v>
      </c>
      <c r="G693" s="1315">
        <v>12014</v>
      </c>
      <c r="H693" s="238">
        <f t="shared" si="323"/>
        <v>1.346E-3</v>
      </c>
      <c r="I693" s="1333">
        <v>2.7999999999999998E-4</v>
      </c>
      <c r="J693" s="1334">
        <v>1.0660000000000001E-3</v>
      </c>
      <c r="K693" s="1334"/>
      <c r="L693" s="1318">
        <v>1</v>
      </c>
      <c r="M693" s="233">
        <f t="shared" si="324"/>
        <v>131.43316000000002</v>
      </c>
      <c r="N693" s="233">
        <f t="shared" si="315"/>
        <v>3.3639199999999998</v>
      </c>
      <c r="O693" s="234">
        <f t="shared" si="316"/>
        <v>128.06924000000001</v>
      </c>
      <c r="P693" s="234">
        <f t="shared" si="322"/>
        <v>0</v>
      </c>
      <c r="Q693" s="1341">
        <v>0</v>
      </c>
    </row>
    <row r="694" spans="1:18" hidden="1" outlineLevel="1">
      <c r="A694" s="270" t="s">
        <v>819</v>
      </c>
      <c r="B694" s="1320" t="s">
        <v>438</v>
      </c>
      <c r="C694" s="1320" t="s">
        <v>593</v>
      </c>
      <c r="D694" s="1321" t="s">
        <v>432</v>
      </c>
      <c r="E694" s="1322">
        <v>1</v>
      </c>
      <c r="F694" s="1324" t="s">
        <v>445</v>
      </c>
      <c r="G694" s="1323">
        <v>24326</v>
      </c>
      <c r="H694" s="239">
        <f t="shared" si="323"/>
        <v>0</v>
      </c>
      <c r="I694" s="1336"/>
      <c r="J694" s="1336"/>
      <c r="K694" s="1336"/>
      <c r="L694" s="1322">
        <v>1</v>
      </c>
      <c r="M694" s="227">
        <f t="shared" si="324"/>
        <v>0</v>
      </c>
      <c r="N694" s="227">
        <f t="shared" si="315"/>
        <v>0</v>
      </c>
      <c r="O694" s="228">
        <f t="shared" si="316"/>
        <v>0</v>
      </c>
      <c r="P694" s="228">
        <f t="shared" si="322"/>
        <v>0</v>
      </c>
      <c r="Q694" s="1342">
        <v>0</v>
      </c>
    </row>
    <row r="695" spans="1:18" hidden="1" outlineLevel="1">
      <c r="A695" s="270" t="s">
        <v>819</v>
      </c>
      <c r="B695" s="1316" t="s">
        <v>418</v>
      </c>
      <c r="C695" s="1316" t="s">
        <v>439</v>
      </c>
      <c r="D695" s="1317" t="s">
        <v>432</v>
      </c>
      <c r="E695" s="1318">
        <v>1.5</v>
      </c>
      <c r="F695" s="1319" t="s">
        <v>868</v>
      </c>
      <c r="G695" s="1315">
        <v>1435</v>
      </c>
      <c r="H695" s="238">
        <f t="shared" si="323"/>
        <v>3.5068000000000002E-2</v>
      </c>
      <c r="I695" s="1334">
        <v>3.5068000000000002E-2</v>
      </c>
      <c r="J695" s="1334"/>
      <c r="K695" s="1334"/>
      <c r="L695" s="1318">
        <v>1</v>
      </c>
      <c r="M695" s="233">
        <f t="shared" si="324"/>
        <v>75.48387000000001</v>
      </c>
      <c r="N695" s="233">
        <f t="shared" si="315"/>
        <v>75.48387000000001</v>
      </c>
      <c r="O695" s="234">
        <f t="shared" si="316"/>
        <v>0</v>
      </c>
      <c r="P695" s="234">
        <f t="shared" si="322"/>
        <v>0</v>
      </c>
      <c r="Q695" s="1341">
        <v>0</v>
      </c>
    </row>
    <row r="696" spans="1:18" hidden="1" outlineLevel="1">
      <c r="A696" s="270" t="s">
        <v>819</v>
      </c>
      <c r="B696" s="1316" t="s">
        <v>418</v>
      </c>
      <c r="C696" s="1316" t="s">
        <v>439</v>
      </c>
      <c r="D696" s="1317" t="s">
        <v>432</v>
      </c>
      <c r="E696" s="1318">
        <v>1.5</v>
      </c>
      <c r="F696" s="1319" t="s">
        <v>441</v>
      </c>
      <c r="G696" s="1315">
        <v>552.89</v>
      </c>
      <c r="H696" s="238">
        <f t="shared" si="323"/>
        <v>9.8827999999999999E-2</v>
      </c>
      <c r="I696" s="1334">
        <v>9.8827999999999999E-2</v>
      </c>
      <c r="J696" s="1334"/>
      <c r="K696" s="1334"/>
      <c r="L696" s="1318">
        <v>1</v>
      </c>
      <c r="M696" s="233">
        <f t="shared" si="324"/>
        <v>81.961519379999999</v>
      </c>
      <c r="N696" s="233">
        <f t="shared" si="315"/>
        <v>81.961519379999999</v>
      </c>
      <c r="O696" s="234">
        <f t="shared" si="316"/>
        <v>0</v>
      </c>
      <c r="P696" s="234">
        <f t="shared" si="322"/>
        <v>0</v>
      </c>
      <c r="Q696" s="1341">
        <v>0</v>
      </c>
    </row>
    <row r="697" spans="1:18" s="177" customFormat="1" hidden="1" outlineLevel="1">
      <c r="A697" s="270" t="s">
        <v>819</v>
      </c>
      <c r="B697" s="1316" t="s">
        <v>418</v>
      </c>
      <c r="C697" s="1316" t="s">
        <v>439</v>
      </c>
      <c r="D697" s="1317" t="s">
        <v>432</v>
      </c>
      <c r="E697" s="1318">
        <v>1.5</v>
      </c>
      <c r="F697" s="1319" t="s">
        <v>442</v>
      </c>
      <c r="G697" s="1315">
        <v>4582</v>
      </c>
      <c r="H697" s="238">
        <f t="shared" si="323"/>
        <v>4.463E-3</v>
      </c>
      <c r="I697" s="1334">
        <v>3.1879999999999999E-3</v>
      </c>
      <c r="J697" s="1334">
        <v>1.2750000000000001E-3</v>
      </c>
      <c r="K697" s="1334"/>
      <c r="L697" s="1318">
        <v>1</v>
      </c>
      <c r="M697" s="233">
        <f t="shared" si="324"/>
        <v>109.54187400000001</v>
      </c>
      <c r="N697" s="233">
        <f t="shared" si="315"/>
        <v>21.911123999999997</v>
      </c>
      <c r="O697" s="234">
        <f t="shared" si="316"/>
        <v>87.630750000000006</v>
      </c>
      <c r="P697" s="234">
        <f t="shared" si="322"/>
        <v>0</v>
      </c>
      <c r="Q697" s="1341">
        <v>0</v>
      </c>
      <c r="R697" s="149"/>
    </row>
    <row r="698" spans="1:18" hidden="1" outlineLevel="1">
      <c r="A698" s="270" t="s">
        <v>819</v>
      </c>
      <c r="B698" s="1316" t="s">
        <v>418</v>
      </c>
      <c r="C698" s="1316" t="s">
        <v>439</v>
      </c>
      <c r="D698" s="1317" t="s">
        <v>432</v>
      </c>
      <c r="E698" s="1318">
        <v>1.5</v>
      </c>
      <c r="F698" s="1319" t="s">
        <v>443</v>
      </c>
      <c r="G698" s="1315">
        <v>2826</v>
      </c>
      <c r="H698" s="238">
        <f t="shared" si="323"/>
        <v>2.6141999999999999E-2</v>
      </c>
      <c r="I698" s="1334">
        <v>2.6141999999999999E-2</v>
      </c>
      <c r="J698" s="1334"/>
      <c r="K698" s="1334"/>
      <c r="L698" s="1318">
        <v>1</v>
      </c>
      <c r="M698" s="233">
        <f t="shared" si="324"/>
        <v>110.81593799999999</v>
      </c>
      <c r="N698" s="233">
        <f t="shared" si="315"/>
        <v>110.81593799999999</v>
      </c>
      <c r="O698" s="234">
        <f t="shared" si="316"/>
        <v>0</v>
      </c>
      <c r="P698" s="234">
        <f t="shared" si="322"/>
        <v>0</v>
      </c>
      <c r="Q698" s="1341">
        <v>0</v>
      </c>
    </row>
    <row r="699" spans="1:18" hidden="1" outlineLevel="1">
      <c r="A699" s="270" t="s">
        <v>819</v>
      </c>
      <c r="B699" s="1316" t="s">
        <v>418</v>
      </c>
      <c r="C699" s="1316" t="s">
        <v>439</v>
      </c>
      <c r="D699" s="1317" t="s">
        <v>432</v>
      </c>
      <c r="E699" s="1318">
        <v>1.5</v>
      </c>
      <c r="F699" s="1319" t="s">
        <v>444</v>
      </c>
      <c r="G699" s="1315">
        <v>12014</v>
      </c>
      <c r="H699" s="238">
        <f t="shared" si="323"/>
        <v>5.4200000000000003E-3</v>
      </c>
      <c r="I699" s="1333">
        <v>5.4200000000000003E-3</v>
      </c>
      <c r="J699" s="1334"/>
      <c r="K699" s="1334"/>
      <c r="L699" s="1318">
        <v>1</v>
      </c>
      <c r="M699" s="233">
        <f t="shared" si="324"/>
        <v>97.673820000000006</v>
      </c>
      <c r="N699" s="233">
        <f t="shared" si="315"/>
        <v>97.673820000000006</v>
      </c>
      <c r="O699" s="234">
        <f t="shared" si="316"/>
        <v>0</v>
      </c>
      <c r="P699" s="234">
        <f t="shared" si="322"/>
        <v>0</v>
      </c>
      <c r="Q699" s="1341">
        <v>0</v>
      </c>
    </row>
    <row r="700" spans="1:18" hidden="1" outlineLevel="1">
      <c r="A700" s="270" t="s">
        <v>819</v>
      </c>
      <c r="B700" s="1320" t="s">
        <v>418</v>
      </c>
      <c r="C700" s="1320" t="s">
        <v>439</v>
      </c>
      <c r="D700" s="1321" t="s">
        <v>432</v>
      </c>
      <c r="E700" s="1322">
        <v>1.5</v>
      </c>
      <c r="F700" s="1324" t="s">
        <v>445</v>
      </c>
      <c r="G700" s="1323">
        <v>24326</v>
      </c>
      <c r="H700" s="239">
        <f t="shared" si="323"/>
        <v>0</v>
      </c>
      <c r="I700" s="1336"/>
      <c r="J700" s="1336"/>
      <c r="K700" s="1336"/>
      <c r="L700" s="1322">
        <v>1</v>
      </c>
      <c r="M700" s="227">
        <f t="shared" si="324"/>
        <v>0</v>
      </c>
      <c r="N700" s="227">
        <f t="shared" si="315"/>
        <v>0</v>
      </c>
      <c r="O700" s="228">
        <f t="shared" si="316"/>
        <v>0</v>
      </c>
      <c r="P700" s="228">
        <f t="shared" si="322"/>
        <v>0</v>
      </c>
      <c r="Q700" s="1342">
        <v>0</v>
      </c>
    </row>
    <row r="701" spans="1:18" hidden="1" outlineLevel="1">
      <c r="A701" s="270" t="s">
        <v>819</v>
      </c>
      <c r="B701" s="1316" t="s">
        <v>411</v>
      </c>
      <c r="C701" s="1316" t="s">
        <v>440</v>
      </c>
      <c r="D701" s="1317" t="s">
        <v>432</v>
      </c>
      <c r="E701" s="1318">
        <v>1.5</v>
      </c>
      <c r="F701" s="1319" t="s">
        <v>868</v>
      </c>
      <c r="G701" s="1315">
        <v>1435</v>
      </c>
      <c r="H701" s="238">
        <f t="shared" si="323"/>
        <v>1.2888E-2</v>
      </c>
      <c r="I701" s="1333">
        <v>1.2888E-2</v>
      </c>
      <c r="J701" s="1333"/>
      <c r="K701" s="1334"/>
      <c r="L701" s="1318">
        <v>0.5</v>
      </c>
      <c r="M701" s="233">
        <f t="shared" si="324"/>
        <v>13.870710000000001</v>
      </c>
      <c r="N701" s="233">
        <f t="shared" si="315"/>
        <v>13.870710000000001</v>
      </c>
      <c r="O701" s="234">
        <f t="shared" si="316"/>
        <v>0</v>
      </c>
      <c r="P701" s="234">
        <f t="shared" si="322"/>
        <v>0</v>
      </c>
      <c r="Q701" s="1341">
        <v>0</v>
      </c>
    </row>
    <row r="702" spans="1:18" hidden="1" outlineLevel="1">
      <c r="A702" s="270" t="s">
        <v>819</v>
      </c>
      <c r="B702" s="1316" t="s">
        <v>411</v>
      </c>
      <c r="C702" s="1316" t="s">
        <v>440</v>
      </c>
      <c r="D702" s="1317" t="s">
        <v>432</v>
      </c>
      <c r="E702" s="1318">
        <v>1.5</v>
      </c>
      <c r="F702" s="1317" t="s">
        <v>441</v>
      </c>
      <c r="G702" s="1315">
        <v>552.89</v>
      </c>
      <c r="H702" s="238">
        <f t="shared" ref="H702" si="325">SUM(I702:K702)</f>
        <v>1.5036000000000001E-2</v>
      </c>
      <c r="I702" s="1333">
        <v>1.5036000000000001E-2</v>
      </c>
      <c r="J702" s="1333"/>
      <c r="K702" s="1334"/>
      <c r="L702" s="1318">
        <v>0.5</v>
      </c>
      <c r="M702" s="233">
        <f t="shared" ref="M702:M710" si="326">SUM(N702:P702)-Q702</f>
        <v>6.2349405300000003</v>
      </c>
      <c r="N702" s="233">
        <f t="shared" si="315"/>
        <v>6.2349405300000003</v>
      </c>
      <c r="O702" s="234">
        <f t="shared" si="316"/>
        <v>0</v>
      </c>
      <c r="P702" s="234">
        <f t="shared" si="322"/>
        <v>0</v>
      </c>
      <c r="Q702" s="1341">
        <v>0</v>
      </c>
    </row>
    <row r="703" spans="1:18" hidden="1" outlineLevel="1">
      <c r="A703" s="270" t="s">
        <v>819</v>
      </c>
      <c r="B703" s="1316" t="s">
        <v>411</v>
      </c>
      <c r="C703" s="1316" t="s">
        <v>440</v>
      </c>
      <c r="D703" s="1317" t="s">
        <v>432</v>
      </c>
      <c r="E703" s="1318">
        <v>1.5</v>
      </c>
      <c r="F703" s="1319" t="s">
        <v>442</v>
      </c>
      <c r="G703" s="1315">
        <v>4582</v>
      </c>
      <c r="H703" s="238">
        <f>SUM(I703:K703)</f>
        <v>0</v>
      </c>
      <c r="I703" s="1333"/>
      <c r="J703" s="1333"/>
      <c r="K703" s="1334"/>
      <c r="L703" s="1318">
        <v>0.5</v>
      </c>
      <c r="M703" s="233">
        <f t="shared" si="326"/>
        <v>0</v>
      </c>
      <c r="N703" s="233">
        <f t="shared" si="315"/>
        <v>0</v>
      </c>
      <c r="O703" s="234">
        <f t="shared" si="316"/>
        <v>0</v>
      </c>
      <c r="P703" s="234">
        <f t="shared" si="322"/>
        <v>0</v>
      </c>
      <c r="Q703" s="1341">
        <v>0</v>
      </c>
    </row>
    <row r="704" spans="1:18" hidden="1" outlineLevel="1">
      <c r="A704" s="270" t="s">
        <v>819</v>
      </c>
      <c r="B704" s="1316" t="s">
        <v>411</v>
      </c>
      <c r="C704" s="1316" t="s">
        <v>440</v>
      </c>
      <c r="D704" s="1317" t="s">
        <v>432</v>
      </c>
      <c r="E704" s="1318">
        <v>1.5</v>
      </c>
      <c r="F704" s="1319" t="s">
        <v>443</v>
      </c>
      <c r="G704" s="1315">
        <v>2826</v>
      </c>
      <c r="H704" s="238">
        <f t="shared" ref="H704:H710" si="327">SUM(I704:K704)</f>
        <v>2.6849999999999999E-2</v>
      </c>
      <c r="I704" s="1333">
        <v>2.6849999999999999E-2</v>
      </c>
      <c r="J704" s="1333"/>
      <c r="K704" s="1334"/>
      <c r="L704" s="1318">
        <v>0.5</v>
      </c>
      <c r="M704" s="233">
        <f t="shared" si="326"/>
        <v>56.908574999999999</v>
      </c>
      <c r="N704" s="233">
        <f t="shared" si="315"/>
        <v>56.908574999999999</v>
      </c>
      <c r="O704" s="234">
        <f t="shared" si="316"/>
        <v>0</v>
      </c>
      <c r="P704" s="234">
        <f t="shared" si="322"/>
        <v>0</v>
      </c>
      <c r="Q704" s="1341">
        <v>0</v>
      </c>
    </row>
    <row r="705" spans="1:18" hidden="1" outlineLevel="1">
      <c r="A705" s="270" t="s">
        <v>819</v>
      </c>
      <c r="B705" s="1320" t="s">
        <v>411</v>
      </c>
      <c r="C705" s="1320" t="s">
        <v>440</v>
      </c>
      <c r="D705" s="1321" t="s">
        <v>432</v>
      </c>
      <c r="E705" s="1322">
        <v>1.5</v>
      </c>
      <c r="F705" s="1324" t="s">
        <v>444</v>
      </c>
      <c r="G705" s="1323">
        <v>12014</v>
      </c>
      <c r="H705" s="239">
        <f t="shared" si="327"/>
        <v>2.6849999999999999E-3</v>
      </c>
      <c r="I705" s="1335">
        <v>2.6849999999999999E-3</v>
      </c>
      <c r="J705" s="1335"/>
      <c r="K705" s="1336"/>
      <c r="L705" s="1322">
        <v>0.5</v>
      </c>
      <c r="M705" s="227">
        <f t="shared" si="326"/>
        <v>24.193192499999999</v>
      </c>
      <c r="N705" s="227">
        <f t="shared" si="315"/>
        <v>24.193192499999999</v>
      </c>
      <c r="O705" s="228">
        <f t="shared" si="316"/>
        <v>0</v>
      </c>
      <c r="P705" s="228">
        <f t="shared" si="322"/>
        <v>0</v>
      </c>
      <c r="Q705" s="1342">
        <v>0</v>
      </c>
    </row>
    <row r="706" spans="1:18" hidden="1" outlineLevel="1">
      <c r="A706" s="270" t="s">
        <v>819</v>
      </c>
      <c r="B706" s="1316" t="s">
        <v>409</v>
      </c>
      <c r="C706" s="1316" t="s">
        <v>594</v>
      </c>
      <c r="D706" s="1317" t="s">
        <v>432</v>
      </c>
      <c r="E706" s="1318">
        <v>1</v>
      </c>
      <c r="F706" s="1319" t="s">
        <v>868</v>
      </c>
      <c r="G706" s="1315">
        <v>1435</v>
      </c>
      <c r="H706" s="238">
        <f t="shared" si="327"/>
        <v>1.308E-2</v>
      </c>
      <c r="I706" s="1333">
        <v>1.308E-2</v>
      </c>
      <c r="J706" s="1333"/>
      <c r="K706" s="1334"/>
      <c r="L706" s="1318">
        <v>0.5</v>
      </c>
      <c r="M706" s="233">
        <f t="shared" si="326"/>
        <v>9.3849</v>
      </c>
      <c r="N706" s="233">
        <f t="shared" si="315"/>
        <v>9.3849</v>
      </c>
      <c r="O706" s="234">
        <f t="shared" si="316"/>
        <v>0</v>
      </c>
      <c r="P706" s="234">
        <f t="shared" si="322"/>
        <v>0</v>
      </c>
      <c r="Q706" s="1341">
        <v>0</v>
      </c>
    </row>
    <row r="707" spans="1:18" hidden="1" outlineLevel="1">
      <c r="A707" s="270" t="s">
        <v>819</v>
      </c>
      <c r="B707" s="1316" t="s">
        <v>409</v>
      </c>
      <c r="C707" s="1316" t="s">
        <v>594</v>
      </c>
      <c r="D707" s="1317" t="s">
        <v>432</v>
      </c>
      <c r="E707" s="1318">
        <v>1</v>
      </c>
      <c r="F707" s="1317" t="s">
        <v>441</v>
      </c>
      <c r="G707" s="1315">
        <v>552.89</v>
      </c>
      <c r="H707" s="238">
        <f t="shared" si="327"/>
        <v>1.5696000000000002E-2</v>
      </c>
      <c r="I707" s="1333">
        <v>1.5696000000000002E-2</v>
      </c>
      <c r="J707" s="1333"/>
      <c r="K707" s="1334"/>
      <c r="L707" s="1318">
        <v>0.5</v>
      </c>
      <c r="M707" s="233">
        <f t="shared" si="326"/>
        <v>4.3390807200000001</v>
      </c>
      <c r="N707" s="233">
        <f t="shared" si="315"/>
        <v>4.3390807200000001</v>
      </c>
      <c r="O707" s="234">
        <f t="shared" si="316"/>
        <v>0</v>
      </c>
      <c r="P707" s="234">
        <f t="shared" si="322"/>
        <v>0</v>
      </c>
      <c r="Q707" s="1341">
        <v>0</v>
      </c>
    </row>
    <row r="708" spans="1:18" hidden="1" outlineLevel="1">
      <c r="A708" s="270" t="s">
        <v>819</v>
      </c>
      <c r="B708" s="1316" t="s">
        <v>409</v>
      </c>
      <c r="C708" s="1316" t="s">
        <v>594</v>
      </c>
      <c r="D708" s="1317" t="s">
        <v>432</v>
      </c>
      <c r="E708" s="1318">
        <v>1</v>
      </c>
      <c r="F708" s="1319" t="s">
        <v>442</v>
      </c>
      <c r="G708" s="1315">
        <v>4582</v>
      </c>
      <c r="H708" s="238">
        <f t="shared" si="327"/>
        <v>0</v>
      </c>
      <c r="I708" s="1333"/>
      <c r="J708" s="1333"/>
      <c r="K708" s="1334"/>
      <c r="L708" s="1318">
        <v>0.5</v>
      </c>
      <c r="M708" s="233">
        <f t="shared" si="326"/>
        <v>0</v>
      </c>
      <c r="N708" s="233">
        <f t="shared" si="315"/>
        <v>0</v>
      </c>
      <c r="O708" s="234">
        <f t="shared" si="316"/>
        <v>0</v>
      </c>
      <c r="P708" s="234">
        <f t="shared" si="322"/>
        <v>0</v>
      </c>
      <c r="Q708" s="1341">
        <v>0</v>
      </c>
    </row>
    <row r="709" spans="1:18" hidden="1" outlineLevel="1">
      <c r="A709" s="270" t="s">
        <v>819</v>
      </c>
      <c r="B709" s="1316" t="s">
        <v>409</v>
      </c>
      <c r="C709" s="1316" t="s">
        <v>594</v>
      </c>
      <c r="D709" s="1317" t="s">
        <v>432</v>
      </c>
      <c r="E709" s="1318">
        <v>1</v>
      </c>
      <c r="F709" s="1319" t="s">
        <v>443</v>
      </c>
      <c r="G709" s="1315">
        <v>2826</v>
      </c>
      <c r="H709" s="238">
        <f t="shared" si="327"/>
        <v>1.308E-2</v>
      </c>
      <c r="I709" s="1333">
        <v>1.308E-2</v>
      </c>
      <c r="J709" s="1333"/>
      <c r="K709" s="1334"/>
      <c r="L709" s="1318">
        <v>0.5</v>
      </c>
      <c r="M709" s="235">
        <f t="shared" si="326"/>
        <v>18.482039999999998</v>
      </c>
      <c r="N709" s="233">
        <f t="shared" si="315"/>
        <v>18.482039999999998</v>
      </c>
      <c r="O709" s="234">
        <f t="shared" si="316"/>
        <v>0</v>
      </c>
      <c r="P709" s="234">
        <f t="shared" si="322"/>
        <v>0</v>
      </c>
      <c r="Q709" s="1341">
        <v>0</v>
      </c>
    </row>
    <row r="710" spans="1:18" hidden="1" outlineLevel="1">
      <c r="A710" s="191" t="s">
        <v>819</v>
      </c>
      <c r="B710" s="1320" t="s">
        <v>409</v>
      </c>
      <c r="C710" s="1320" t="s">
        <v>594</v>
      </c>
      <c r="D710" s="1321" t="s">
        <v>432</v>
      </c>
      <c r="E710" s="1322">
        <v>1</v>
      </c>
      <c r="F710" s="1324" t="s">
        <v>444</v>
      </c>
      <c r="G710" s="1323">
        <v>12014</v>
      </c>
      <c r="H710" s="239">
        <f t="shared" si="327"/>
        <v>9.810000000000001E-4</v>
      </c>
      <c r="I710" s="1335">
        <v>9.810000000000001E-4</v>
      </c>
      <c r="J710" s="1335"/>
      <c r="K710" s="1336"/>
      <c r="L710" s="1322">
        <v>0.5</v>
      </c>
      <c r="M710" s="267">
        <f t="shared" si="326"/>
        <v>5.8928670000000007</v>
      </c>
      <c r="N710" s="227">
        <f t="shared" si="315"/>
        <v>5.8928670000000007</v>
      </c>
      <c r="O710" s="228">
        <f t="shared" si="316"/>
        <v>0</v>
      </c>
      <c r="P710" s="228">
        <f t="shared" si="322"/>
        <v>0</v>
      </c>
      <c r="Q710" s="1342">
        <v>0</v>
      </c>
      <c r="R710" s="512">
        <f>SUM(M671:M710)</f>
        <v>5657.1004290450001</v>
      </c>
    </row>
    <row r="711" spans="1:18" hidden="1" outlineLevel="1">
      <c r="A711" s="270" t="s">
        <v>819</v>
      </c>
      <c r="B711" s="1308" t="s">
        <v>434</v>
      </c>
      <c r="C711" s="1308" t="s">
        <v>435</v>
      </c>
      <c r="D711" s="1309" t="s">
        <v>433</v>
      </c>
      <c r="E711" s="1310">
        <v>1</v>
      </c>
      <c r="F711" s="1309" t="s">
        <v>868</v>
      </c>
      <c r="G711" s="1311">
        <v>1435</v>
      </c>
      <c r="H711" s="778">
        <f>SUM(I711:K711)</f>
        <v>0.12285600000000001</v>
      </c>
      <c r="I711" s="1330">
        <v>0.12285600000000001</v>
      </c>
      <c r="J711" s="1330"/>
      <c r="K711" s="1330"/>
      <c r="L711" s="1310">
        <v>1</v>
      </c>
      <c r="M711" s="772">
        <f>SUM(N711:P711)-Q711</f>
        <v>176.29836</v>
      </c>
      <c r="N711" s="772">
        <f t="shared" si="315"/>
        <v>176.29836</v>
      </c>
      <c r="O711" s="773">
        <f t="shared" si="316"/>
        <v>0</v>
      </c>
      <c r="P711" s="773">
        <f>E711*G711*K711*L711*15</f>
        <v>0</v>
      </c>
      <c r="Q711" s="1339">
        <v>0</v>
      </c>
      <c r="R711" s="774"/>
    </row>
    <row r="712" spans="1:18" hidden="1" outlineLevel="1">
      <c r="A712" s="270" t="s">
        <v>819</v>
      </c>
      <c r="B712" s="1312" t="s">
        <v>434</v>
      </c>
      <c r="C712" s="1312" t="s">
        <v>435</v>
      </c>
      <c r="D712" s="1313" t="s">
        <v>433</v>
      </c>
      <c r="E712" s="1314">
        <v>1</v>
      </c>
      <c r="F712" s="1319" t="s">
        <v>441</v>
      </c>
      <c r="G712" s="1315">
        <v>552.89</v>
      </c>
      <c r="H712" s="237">
        <f t="shared" ref="H712:H713" si="328">SUM(I712:K712)</f>
        <v>0.112618</v>
      </c>
      <c r="I712" s="1332">
        <v>0.112618</v>
      </c>
      <c r="J712" s="1332"/>
      <c r="K712" s="1332"/>
      <c r="L712" s="1314">
        <v>1</v>
      </c>
      <c r="M712" s="223">
        <f t="shared" ref="M712:M713" si="329">SUM(N712:P712)-Q712</f>
        <v>62.265366019999995</v>
      </c>
      <c r="N712" s="223">
        <f t="shared" si="315"/>
        <v>62.265366019999995</v>
      </c>
      <c r="O712" s="224">
        <f t="shared" si="316"/>
        <v>0</v>
      </c>
      <c r="P712" s="224">
        <f t="shared" ref="P712:P713" si="330">E712*G712*K712*L712*15</f>
        <v>0</v>
      </c>
      <c r="Q712" s="1340">
        <v>0</v>
      </c>
    </row>
    <row r="713" spans="1:18" hidden="1" outlineLevel="1">
      <c r="A713" s="270" t="s">
        <v>819</v>
      </c>
      <c r="B713" s="1316" t="s">
        <v>434</v>
      </c>
      <c r="C713" s="1316" t="s">
        <v>435</v>
      </c>
      <c r="D713" s="1313" t="s">
        <v>433</v>
      </c>
      <c r="E713" s="1318">
        <v>1</v>
      </c>
      <c r="F713" s="1319" t="s">
        <v>442</v>
      </c>
      <c r="G713" s="1315">
        <v>4582</v>
      </c>
      <c r="H713" s="238">
        <f t="shared" si="328"/>
        <v>5.1190000000000003E-3</v>
      </c>
      <c r="I713" s="1334">
        <v>5.1190000000000003E-3</v>
      </c>
      <c r="J713" s="1334"/>
      <c r="K713" s="1334"/>
      <c r="L713" s="1318">
        <v>1</v>
      </c>
      <c r="M713" s="233">
        <f t="shared" si="329"/>
        <v>23.455258000000001</v>
      </c>
      <c r="N713" s="233">
        <f t="shared" si="315"/>
        <v>23.455258000000001</v>
      </c>
      <c r="O713" s="234">
        <f t="shared" si="316"/>
        <v>0</v>
      </c>
      <c r="P713" s="234">
        <f t="shared" si="330"/>
        <v>0</v>
      </c>
      <c r="Q713" s="1341">
        <v>0</v>
      </c>
    </row>
    <row r="714" spans="1:18" hidden="1" outlineLevel="1">
      <c r="A714" s="270" t="s">
        <v>819</v>
      </c>
      <c r="B714" s="1316" t="s">
        <v>434</v>
      </c>
      <c r="C714" s="1316" t="s">
        <v>435</v>
      </c>
      <c r="D714" s="1317" t="s">
        <v>433</v>
      </c>
      <c r="E714" s="1318">
        <v>1</v>
      </c>
      <c r="F714" s="1319" t="s">
        <v>443</v>
      </c>
      <c r="G714" s="1315">
        <v>2826</v>
      </c>
      <c r="H714" s="238">
        <f>SUM(I714:K714)</f>
        <v>0.22011700000000001</v>
      </c>
      <c r="I714" s="1334">
        <v>0.22011700000000001</v>
      </c>
      <c r="J714" s="1334"/>
      <c r="K714" s="1334"/>
      <c r="L714" s="1318">
        <v>1</v>
      </c>
      <c r="M714" s="233">
        <f>SUM(N714:P714)-Q714</f>
        <v>622.05064200000004</v>
      </c>
      <c r="N714" s="233">
        <f t="shared" si="315"/>
        <v>622.05064200000004</v>
      </c>
      <c r="O714" s="234">
        <f t="shared" si="316"/>
        <v>0</v>
      </c>
      <c r="P714" s="234">
        <f>E714*G714*K714*L714*15</f>
        <v>0</v>
      </c>
      <c r="Q714" s="1341">
        <v>0</v>
      </c>
    </row>
    <row r="715" spans="1:18" hidden="1" outlineLevel="1">
      <c r="A715" s="270" t="s">
        <v>819</v>
      </c>
      <c r="B715" s="1316" t="s">
        <v>434</v>
      </c>
      <c r="C715" s="1316" t="s">
        <v>435</v>
      </c>
      <c r="D715" s="1317" t="s">
        <v>433</v>
      </c>
      <c r="E715" s="1318">
        <v>1</v>
      </c>
      <c r="F715" s="1317" t="s">
        <v>444</v>
      </c>
      <c r="G715" s="1315">
        <v>12014</v>
      </c>
      <c r="H715" s="238">
        <f>SUM(I715:K715)</f>
        <v>2.4571000000000003E-2</v>
      </c>
      <c r="I715" s="1334">
        <v>1.0238000000000001E-2</v>
      </c>
      <c r="J715" s="1334">
        <v>1.4333E-2</v>
      </c>
      <c r="K715" s="1334"/>
      <c r="L715" s="1318">
        <v>1</v>
      </c>
      <c r="M715" s="233">
        <f>SUM(N715:P715)-Q715</f>
        <v>1844.9659520000002</v>
      </c>
      <c r="N715" s="233">
        <f t="shared" si="315"/>
        <v>122.99933200000001</v>
      </c>
      <c r="O715" s="234">
        <f t="shared" si="316"/>
        <v>1721.9666200000001</v>
      </c>
      <c r="P715" s="234">
        <f>E715*G715*K715*L715*15</f>
        <v>0</v>
      </c>
      <c r="Q715" s="1341">
        <v>0</v>
      </c>
    </row>
    <row r="716" spans="1:18" hidden="1" outlineLevel="1">
      <c r="A716" s="270" t="s">
        <v>819</v>
      </c>
      <c r="B716" s="1320" t="s">
        <v>434</v>
      </c>
      <c r="C716" s="1320" t="s">
        <v>435</v>
      </c>
      <c r="D716" s="1321" t="s">
        <v>433</v>
      </c>
      <c r="E716" s="1322">
        <v>1</v>
      </c>
      <c r="F716" s="1324" t="s">
        <v>445</v>
      </c>
      <c r="G716" s="1323">
        <v>24326</v>
      </c>
      <c r="H716" s="239">
        <f t="shared" ref="H716:H723" si="331">SUM(I716:K716)</f>
        <v>2.5999999999999998E-5</v>
      </c>
      <c r="I716" s="1336">
        <v>2.5999999999999998E-5</v>
      </c>
      <c r="J716" s="1336"/>
      <c r="K716" s="1336"/>
      <c r="L716" s="1322">
        <v>1</v>
      </c>
      <c r="M716" s="227">
        <f t="shared" ref="M716" si="332">SUM(N716:P716)-Q716</f>
        <v>0.63247599999999993</v>
      </c>
      <c r="N716" s="227">
        <f t="shared" si="315"/>
        <v>0.63247599999999993</v>
      </c>
      <c r="O716" s="228">
        <f t="shared" si="316"/>
        <v>0</v>
      </c>
      <c r="P716" s="228">
        <f t="shared" ref="P716" si="333">E716*G716*K716*L716*15</f>
        <v>0</v>
      </c>
      <c r="Q716" s="1342">
        <v>0</v>
      </c>
    </row>
    <row r="717" spans="1:18" hidden="1" outlineLevel="1">
      <c r="A717" s="270" t="s">
        <v>819</v>
      </c>
      <c r="B717" s="1320" t="s">
        <v>869</v>
      </c>
      <c r="C717" s="1320" t="s">
        <v>870</v>
      </c>
      <c r="D717" s="1321" t="s">
        <v>433</v>
      </c>
      <c r="E717" s="1322">
        <v>1</v>
      </c>
      <c r="F717" s="1324" t="s">
        <v>442</v>
      </c>
      <c r="G717" s="1328">
        <v>4582</v>
      </c>
      <c r="H717" s="239">
        <f t="shared" ref="H717:H718" si="334">SUM(I717:K717)</f>
        <v>0</v>
      </c>
      <c r="I717" s="1482"/>
      <c r="J717" s="1482"/>
      <c r="K717" s="1482"/>
      <c r="L717" s="1322">
        <v>0.5</v>
      </c>
      <c r="M717" s="520">
        <f t="shared" ref="M717:M720" si="335">SUM(N717:P717)-Q717</f>
        <v>0</v>
      </c>
      <c r="N717" s="521">
        <v>0</v>
      </c>
      <c r="O717" s="522">
        <f t="shared" ref="O717:O720" si="336">E717*G717*J717</f>
        <v>0</v>
      </c>
      <c r="P717" s="522"/>
      <c r="Q717" s="1342">
        <v>0</v>
      </c>
    </row>
    <row r="718" spans="1:18" hidden="1" outlineLevel="1">
      <c r="A718" s="270" t="s">
        <v>819</v>
      </c>
      <c r="B718" s="1320" t="s">
        <v>1301</v>
      </c>
      <c r="C718" s="1320" t="s">
        <v>867</v>
      </c>
      <c r="D718" s="1321" t="s">
        <v>433</v>
      </c>
      <c r="E718" s="1322">
        <v>1.5</v>
      </c>
      <c r="F718" s="1324" t="s">
        <v>441</v>
      </c>
      <c r="G718" s="1323">
        <v>552.89</v>
      </c>
      <c r="H718" s="239">
        <f t="shared" si="334"/>
        <v>0</v>
      </c>
      <c r="I718" s="1482"/>
      <c r="J718" s="1482"/>
      <c r="K718" s="1482"/>
      <c r="L718" s="1322">
        <v>0.5</v>
      </c>
      <c r="M718" s="520">
        <f t="shared" si="335"/>
        <v>0</v>
      </c>
      <c r="N718" s="521">
        <v>0</v>
      </c>
      <c r="O718" s="522">
        <f t="shared" si="336"/>
        <v>0</v>
      </c>
      <c r="P718" s="522"/>
      <c r="Q718" s="1342">
        <v>0</v>
      </c>
    </row>
    <row r="719" spans="1:18" hidden="1" outlineLevel="1">
      <c r="A719" s="270" t="s">
        <v>819</v>
      </c>
      <c r="B719" s="1325" t="s">
        <v>620</v>
      </c>
      <c r="C719" s="1325" t="s">
        <v>621</v>
      </c>
      <c r="D719" s="1321" t="s">
        <v>1260</v>
      </c>
      <c r="E719" s="1327">
        <v>1</v>
      </c>
      <c r="F719" s="1324" t="s">
        <v>441</v>
      </c>
      <c r="G719" s="1323">
        <v>552.89</v>
      </c>
      <c r="H719" s="239">
        <f t="shared" ref="H719:H720" si="337">SUM(I719:K719)</f>
        <v>0</v>
      </c>
      <c r="I719" s="1482"/>
      <c r="J719" s="1338"/>
      <c r="K719" s="1338"/>
      <c r="L719" s="1322">
        <v>0.5</v>
      </c>
      <c r="M719" s="520">
        <f t="shared" si="335"/>
        <v>0</v>
      </c>
      <c r="N719" s="521">
        <v>0</v>
      </c>
      <c r="O719" s="522">
        <f t="shared" si="336"/>
        <v>0</v>
      </c>
      <c r="P719" s="522"/>
      <c r="Q719" s="1342">
        <v>0</v>
      </c>
    </row>
    <row r="720" spans="1:18" hidden="1" outlineLevel="1">
      <c r="A720" s="270" t="s">
        <v>819</v>
      </c>
      <c r="B720" s="1325" t="s">
        <v>622</v>
      </c>
      <c r="C720" s="1325" t="s">
        <v>619</v>
      </c>
      <c r="D720" s="1321" t="s">
        <v>1260</v>
      </c>
      <c r="E720" s="1327">
        <v>1</v>
      </c>
      <c r="F720" s="1324" t="s">
        <v>441</v>
      </c>
      <c r="G720" s="1323">
        <v>552.89</v>
      </c>
      <c r="H720" s="239">
        <f t="shared" si="337"/>
        <v>0</v>
      </c>
      <c r="I720" s="1482"/>
      <c r="J720" s="1338"/>
      <c r="K720" s="1338"/>
      <c r="L720" s="1322">
        <v>0.5</v>
      </c>
      <c r="M720" s="520">
        <f t="shared" si="335"/>
        <v>0</v>
      </c>
      <c r="N720" s="521">
        <v>0</v>
      </c>
      <c r="O720" s="522">
        <f t="shared" si="336"/>
        <v>0</v>
      </c>
      <c r="P720" s="522"/>
      <c r="Q720" s="1342">
        <v>0</v>
      </c>
    </row>
    <row r="721" spans="1:17" hidden="1" outlineLevel="1">
      <c r="A721" s="270" t="s">
        <v>819</v>
      </c>
      <c r="B721" s="1316" t="s">
        <v>436</v>
      </c>
      <c r="C721" s="1316" t="s">
        <v>591</v>
      </c>
      <c r="D721" s="1317" t="s">
        <v>433</v>
      </c>
      <c r="E721" s="1318">
        <v>1</v>
      </c>
      <c r="F721" s="1317" t="s">
        <v>868</v>
      </c>
      <c r="G721" s="1315">
        <v>1435</v>
      </c>
      <c r="H721" s="238">
        <f t="shared" si="331"/>
        <v>0</v>
      </c>
      <c r="I721" s="1333"/>
      <c r="J721" s="1333"/>
      <c r="K721" s="1334"/>
      <c r="L721" s="1318">
        <v>1</v>
      </c>
      <c r="M721" s="233">
        <f t="shared" ref="M721:M723" si="338">SUM(N721:P721)-Q721</f>
        <v>0</v>
      </c>
      <c r="N721" s="233">
        <f t="shared" ref="N721:N750" si="339">E721*G721*I721*L721</f>
        <v>0</v>
      </c>
      <c r="O721" s="234">
        <f t="shared" ref="O721:O750" si="340">E721*G721*J721*L721*10</f>
        <v>0</v>
      </c>
      <c r="P721" s="234">
        <f t="shared" ref="P721:P728" si="341">E721*G721*K721*L721*15</f>
        <v>0</v>
      </c>
      <c r="Q721" s="1341">
        <v>0</v>
      </c>
    </row>
    <row r="722" spans="1:17" hidden="1" outlineLevel="1">
      <c r="A722" s="270" t="s">
        <v>819</v>
      </c>
      <c r="B722" s="1316" t="s">
        <v>436</v>
      </c>
      <c r="C722" s="1316" t="s">
        <v>591</v>
      </c>
      <c r="D722" s="1317" t="s">
        <v>433</v>
      </c>
      <c r="E722" s="1318">
        <v>1</v>
      </c>
      <c r="F722" s="1319" t="s">
        <v>441</v>
      </c>
      <c r="G722" s="1315">
        <v>552.89</v>
      </c>
      <c r="H722" s="238">
        <f t="shared" si="331"/>
        <v>0</v>
      </c>
      <c r="I722" s="1333"/>
      <c r="J722" s="1333"/>
      <c r="K722" s="1334"/>
      <c r="L722" s="1318">
        <v>1</v>
      </c>
      <c r="M722" s="233">
        <f t="shared" si="338"/>
        <v>0</v>
      </c>
      <c r="N722" s="233">
        <f t="shared" si="339"/>
        <v>0</v>
      </c>
      <c r="O722" s="234">
        <f t="shared" si="340"/>
        <v>0</v>
      </c>
      <c r="P722" s="234">
        <f t="shared" si="341"/>
        <v>0</v>
      </c>
      <c r="Q722" s="1341">
        <v>0</v>
      </c>
    </row>
    <row r="723" spans="1:17" hidden="1" outlineLevel="1">
      <c r="A723" s="270" t="s">
        <v>819</v>
      </c>
      <c r="B723" s="1316" t="s">
        <v>436</v>
      </c>
      <c r="C723" s="1316" t="s">
        <v>591</v>
      </c>
      <c r="D723" s="1317" t="s">
        <v>433</v>
      </c>
      <c r="E723" s="1318">
        <v>1</v>
      </c>
      <c r="F723" s="1319" t="s">
        <v>443</v>
      </c>
      <c r="G723" s="1315">
        <v>2826</v>
      </c>
      <c r="H723" s="238">
        <f t="shared" si="331"/>
        <v>0</v>
      </c>
      <c r="I723" s="1333"/>
      <c r="J723" s="1333"/>
      <c r="K723" s="1334"/>
      <c r="L723" s="1318">
        <v>1</v>
      </c>
      <c r="M723" s="233">
        <f t="shared" si="338"/>
        <v>0</v>
      </c>
      <c r="N723" s="233">
        <f t="shared" si="339"/>
        <v>0</v>
      </c>
      <c r="O723" s="234">
        <f t="shared" si="340"/>
        <v>0</v>
      </c>
      <c r="P723" s="234">
        <f t="shared" si="341"/>
        <v>0</v>
      </c>
      <c r="Q723" s="1341">
        <v>0</v>
      </c>
    </row>
    <row r="724" spans="1:17" hidden="1" outlineLevel="1">
      <c r="A724" s="270" t="s">
        <v>819</v>
      </c>
      <c r="B724" s="1320" t="s">
        <v>436</v>
      </c>
      <c r="C724" s="1320" t="s">
        <v>591</v>
      </c>
      <c r="D724" s="1321" t="s">
        <v>433</v>
      </c>
      <c r="E724" s="1322">
        <v>1</v>
      </c>
      <c r="F724" s="1324" t="s">
        <v>444</v>
      </c>
      <c r="G724" s="1323">
        <v>12014</v>
      </c>
      <c r="H724" s="239">
        <f t="shared" ref="H724:H728" si="342">SUM(I724:K724)</f>
        <v>0</v>
      </c>
      <c r="I724" s="1335"/>
      <c r="J724" s="1335"/>
      <c r="K724" s="1336"/>
      <c r="L724" s="1322">
        <v>1</v>
      </c>
      <c r="M724" s="227">
        <f t="shared" ref="M724:M728" si="343">SUM(N724:P724)-Q724</f>
        <v>0</v>
      </c>
      <c r="N724" s="227">
        <f t="shared" si="339"/>
        <v>0</v>
      </c>
      <c r="O724" s="228">
        <f t="shared" si="340"/>
        <v>0</v>
      </c>
      <c r="P724" s="228">
        <f t="shared" si="341"/>
        <v>0</v>
      </c>
      <c r="Q724" s="1342">
        <v>0</v>
      </c>
    </row>
    <row r="725" spans="1:17" hidden="1" outlineLevel="1">
      <c r="A725" s="270" t="s">
        <v>819</v>
      </c>
      <c r="B725" s="1316" t="s">
        <v>437</v>
      </c>
      <c r="C725" s="1316" t="s">
        <v>592</v>
      </c>
      <c r="D725" s="1317" t="s">
        <v>433</v>
      </c>
      <c r="E725" s="1318">
        <v>1</v>
      </c>
      <c r="F725" s="1317" t="s">
        <v>868</v>
      </c>
      <c r="G725" s="1315">
        <v>1435</v>
      </c>
      <c r="H725" s="238">
        <f t="shared" si="342"/>
        <v>6.0800000000000003E-4</v>
      </c>
      <c r="I725" s="1333">
        <v>6.0800000000000003E-4</v>
      </c>
      <c r="J725" s="1333"/>
      <c r="K725" s="1334"/>
      <c r="L725" s="1318">
        <v>0.5</v>
      </c>
      <c r="M725" s="233">
        <f t="shared" si="343"/>
        <v>0.43624000000000002</v>
      </c>
      <c r="N725" s="233">
        <f t="shared" si="339"/>
        <v>0.43624000000000002</v>
      </c>
      <c r="O725" s="234">
        <f t="shared" si="340"/>
        <v>0</v>
      </c>
      <c r="P725" s="234">
        <f t="shared" si="341"/>
        <v>0</v>
      </c>
      <c r="Q725" s="1341">
        <v>0</v>
      </c>
    </row>
    <row r="726" spans="1:17" hidden="1" outlineLevel="1">
      <c r="A726" s="270" t="s">
        <v>819</v>
      </c>
      <c r="B726" s="1316" t="s">
        <v>437</v>
      </c>
      <c r="C726" s="1316" t="s">
        <v>592</v>
      </c>
      <c r="D726" s="1317" t="s">
        <v>433</v>
      </c>
      <c r="E726" s="1318">
        <v>1</v>
      </c>
      <c r="F726" s="1319" t="s">
        <v>441</v>
      </c>
      <c r="G726" s="1315">
        <v>552.89</v>
      </c>
      <c r="H726" s="238">
        <f t="shared" si="342"/>
        <v>5.5999999999999995E-4</v>
      </c>
      <c r="I726" s="1333">
        <v>5.5999999999999995E-4</v>
      </c>
      <c r="J726" s="1333"/>
      <c r="K726" s="1334"/>
      <c r="L726" s="1318">
        <v>0.5</v>
      </c>
      <c r="M726" s="233">
        <f t="shared" si="343"/>
        <v>0.15480919999999998</v>
      </c>
      <c r="N726" s="233">
        <f t="shared" si="339"/>
        <v>0.15480919999999998</v>
      </c>
      <c r="O726" s="234">
        <f t="shared" si="340"/>
        <v>0</v>
      </c>
      <c r="P726" s="234">
        <f t="shared" si="341"/>
        <v>0</v>
      </c>
      <c r="Q726" s="1341">
        <v>0</v>
      </c>
    </row>
    <row r="727" spans="1:17" hidden="1" outlineLevel="1">
      <c r="A727" s="270" t="s">
        <v>819</v>
      </c>
      <c r="B727" s="1316" t="s">
        <v>437</v>
      </c>
      <c r="C727" s="1316" t="s">
        <v>592</v>
      </c>
      <c r="D727" s="1317" t="s">
        <v>433</v>
      </c>
      <c r="E727" s="1318">
        <v>1</v>
      </c>
      <c r="F727" s="1319" t="s">
        <v>443</v>
      </c>
      <c r="G727" s="1315">
        <v>2826</v>
      </c>
      <c r="H727" s="238">
        <f t="shared" si="342"/>
        <v>1.44E-4</v>
      </c>
      <c r="I727" s="1333">
        <v>1.44E-4</v>
      </c>
      <c r="J727" s="1333"/>
      <c r="K727" s="1334"/>
      <c r="L727" s="1318">
        <v>0.5</v>
      </c>
      <c r="M727" s="233">
        <f t="shared" si="343"/>
        <v>0.20347200000000001</v>
      </c>
      <c r="N727" s="233">
        <f t="shared" si="339"/>
        <v>0.20347200000000001</v>
      </c>
      <c r="O727" s="234">
        <f t="shared" si="340"/>
        <v>0</v>
      </c>
      <c r="P727" s="234">
        <f t="shared" si="341"/>
        <v>0</v>
      </c>
      <c r="Q727" s="1341">
        <v>0</v>
      </c>
    </row>
    <row r="728" spans="1:17" hidden="1" outlineLevel="1">
      <c r="A728" s="270" t="s">
        <v>819</v>
      </c>
      <c r="B728" s="1320" t="s">
        <v>437</v>
      </c>
      <c r="C728" s="1320" t="s">
        <v>592</v>
      </c>
      <c r="D728" s="1321" t="s">
        <v>433</v>
      </c>
      <c r="E728" s="1322">
        <v>1</v>
      </c>
      <c r="F728" s="1324" t="s">
        <v>444</v>
      </c>
      <c r="G728" s="1323">
        <v>12014</v>
      </c>
      <c r="H728" s="239">
        <f t="shared" si="342"/>
        <v>2.8E-5</v>
      </c>
      <c r="I728" s="1335">
        <v>2.8E-5</v>
      </c>
      <c r="J728" s="1335"/>
      <c r="K728" s="1336"/>
      <c r="L728" s="1322">
        <v>0.5</v>
      </c>
      <c r="M728" s="227">
        <f t="shared" si="343"/>
        <v>0.16819599999999998</v>
      </c>
      <c r="N728" s="227">
        <f t="shared" si="339"/>
        <v>0.16819599999999998</v>
      </c>
      <c r="O728" s="228">
        <f t="shared" si="340"/>
        <v>0</v>
      </c>
      <c r="P728" s="228">
        <f t="shared" si="341"/>
        <v>0</v>
      </c>
      <c r="Q728" s="1342">
        <v>0</v>
      </c>
    </row>
    <row r="729" spans="1:17" hidden="1" outlineLevel="1">
      <c r="A729" s="270" t="s">
        <v>819</v>
      </c>
      <c r="B729" s="1316" t="s">
        <v>438</v>
      </c>
      <c r="C729" s="1316" t="s">
        <v>593</v>
      </c>
      <c r="D729" s="1317" t="s">
        <v>433</v>
      </c>
      <c r="E729" s="1318">
        <v>1</v>
      </c>
      <c r="F729" s="1319" t="s">
        <v>868</v>
      </c>
      <c r="G729" s="1315">
        <v>1435</v>
      </c>
      <c r="H729" s="238">
        <f>SUM(I729:K729)</f>
        <v>2.2200000000000002E-3</v>
      </c>
      <c r="I729" s="1333">
        <v>2.2200000000000002E-3</v>
      </c>
      <c r="J729" s="1334"/>
      <c r="K729" s="1334"/>
      <c r="L729" s="1318">
        <v>1</v>
      </c>
      <c r="M729" s="233">
        <f>SUM(N729:P729)-Q729</f>
        <v>3.1857000000000002</v>
      </c>
      <c r="N729" s="233">
        <f t="shared" si="339"/>
        <v>3.1857000000000002</v>
      </c>
      <c r="O729" s="234">
        <f t="shared" si="340"/>
        <v>0</v>
      </c>
      <c r="P729" s="234">
        <f>E729*G729*K729*L729*15</f>
        <v>0</v>
      </c>
      <c r="Q729" s="1341">
        <v>0</v>
      </c>
    </row>
    <row r="730" spans="1:17" hidden="1" outlineLevel="1">
      <c r="A730" s="270" t="s">
        <v>819</v>
      </c>
      <c r="B730" s="1316" t="s">
        <v>438</v>
      </c>
      <c r="C730" s="1316" t="s">
        <v>593</v>
      </c>
      <c r="D730" s="1317" t="s">
        <v>433</v>
      </c>
      <c r="E730" s="1318">
        <v>1</v>
      </c>
      <c r="F730" s="1319" t="s">
        <v>441</v>
      </c>
      <c r="G730" s="1315">
        <v>552.89</v>
      </c>
      <c r="H730" s="238">
        <f t="shared" ref="H730" si="344">SUM(I730:K730)</f>
        <v>1.48E-3</v>
      </c>
      <c r="I730" s="1333">
        <v>1.48E-3</v>
      </c>
      <c r="J730" s="1334"/>
      <c r="K730" s="1334"/>
      <c r="L730" s="1318">
        <v>1</v>
      </c>
      <c r="M730" s="233">
        <f t="shared" ref="M730" si="345">SUM(N730:P730)-Q730</f>
        <v>0.81827719999999993</v>
      </c>
      <c r="N730" s="233">
        <f t="shared" si="339"/>
        <v>0.81827719999999993</v>
      </c>
      <c r="O730" s="234">
        <f t="shared" si="340"/>
        <v>0</v>
      </c>
      <c r="P730" s="234">
        <f t="shared" ref="P730:P750" si="346">E730*G730*K730*L730*15</f>
        <v>0</v>
      </c>
      <c r="Q730" s="1341">
        <v>0</v>
      </c>
    </row>
    <row r="731" spans="1:17" hidden="1" outlineLevel="1">
      <c r="A731" s="270" t="s">
        <v>819</v>
      </c>
      <c r="B731" s="1316" t="s">
        <v>438</v>
      </c>
      <c r="C731" s="1316" t="s">
        <v>593</v>
      </c>
      <c r="D731" s="1317" t="s">
        <v>433</v>
      </c>
      <c r="E731" s="1318">
        <v>1</v>
      </c>
      <c r="F731" s="1319" t="s">
        <v>442</v>
      </c>
      <c r="G731" s="1315">
        <v>4582</v>
      </c>
      <c r="H731" s="238">
        <f t="shared" ref="H731:H741" si="347">SUM(I731:K731)</f>
        <v>1.11E-4</v>
      </c>
      <c r="I731" s="1334">
        <v>1.11E-4</v>
      </c>
      <c r="J731" s="1334"/>
      <c r="K731" s="1334"/>
      <c r="L731" s="1318">
        <v>1</v>
      </c>
      <c r="M731" s="233">
        <f t="shared" ref="M731:M741" si="348">SUM(N731:P731)-Q731</f>
        <v>0.508602</v>
      </c>
      <c r="N731" s="233">
        <f t="shared" si="339"/>
        <v>0.508602</v>
      </c>
      <c r="O731" s="234">
        <f t="shared" si="340"/>
        <v>0</v>
      </c>
      <c r="P731" s="234">
        <f t="shared" si="346"/>
        <v>0</v>
      </c>
      <c r="Q731" s="1341">
        <v>0</v>
      </c>
    </row>
    <row r="732" spans="1:17" hidden="1" outlineLevel="1">
      <c r="A732" s="270" t="s">
        <v>819</v>
      </c>
      <c r="B732" s="1316" t="s">
        <v>438</v>
      </c>
      <c r="C732" s="1316" t="s">
        <v>593</v>
      </c>
      <c r="D732" s="1317" t="s">
        <v>433</v>
      </c>
      <c r="E732" s="1318">
        <v>1</v>
      </c>
      <c r="F732" s="1319" t="s">
        <v>443</v>
      </c>
      <c r="G732" s="1315">
        <v>2826</v>
      </c>
      <c r="H732" s="238">
        <f t="shared" si="347"/>
        <v>1.758E-3</v>
      </c>
      <c r="I732" s="1334">
        <v>1.758E-3</v>
      </c>
      <c r="J732" s="1334"/>
      <c r="K732" s="1334"/>
      <c r="L732" s="1318">
        <v>1</v>
      </c>
      <c r="M732" s="233">
        <f t="shared" si="348"/>
        <v>4.968108</v>
      </c>
      <c r="N732" s="233">
        <f t="shared" si="339"/>
        <v>4.968108</v>
      </c>
      <c r="O732" s="234">
        <f t="shared" si="340"/>
        <v>0</v>
      </c>
      <c r="P732" s="234">
        <f t="shared" si="346"/>
        <v>0</v>
      </c>
      <c r="Q732" s="1341">
        <v>0</v>
      </c>
    </row>
    <row r="733" spans="1:17" hidden="1" outlineLevel="1">
      <c r="A733" s="270" t="s">
        <v>819</v>
      </c>
      <c r="B733" s="1316" t="s">
        <v>438</v>
      </c>
      <c r="C733" s="1316" t="s">
        <v>593</v>
      </c>
      <c r="D733" s="1317" t="s">
        <v>433</v>
      </c>
      <c r="E733" s="1318">
        <v>1</v>
      </c>
      <c r="F733" s="1319" t="s">
        <v>444</v>
      </c>
      <c r="G733" s="1315">
        <v>12014</v>
      </c>
      <c r="H733" s="238">
        <f t="shared" si="347"/>
        <v>1.84E-4</v>
      </c>
      <c r="I733" s="1334">
        <v>9.2E-5</v>
      </c>
      <c r="J733" s="1334">
        <v>9.2E-5</v>
      </c>
      <c r="K733" s="1334"/>
      <c r="L733" s="1318">
        <v>1</v>
      </c>
      <c r="M733" s="233">
        <f t="shared" si="348"/>
        <v>12.158168</v>
      </c>
      <c r="N733" s="233">
        <f t="shared" si="339"/>
        <v>1.105288</v>
      </c>
      <c r="O733" s="234">
        <f t="shared" si="340"/>
        <v>11.05288</v>
      </c>
      <c r="P733" s="234">
        <f t="shared" si="346"/>
        <v>0</v>
      </c>
      <c r="Q733" s="1341">
        <v>0</v>
      </c>
    </row>
    <row r="734" spans="1:17" hidden="1" outlineLevel="1">
      <c r="A734" s="270" t="s">
        <v>819</v>
      </c>
      <c r="B734" s="1320" t="s">
        <v>438</v>
      </c>
      <c r="C734" s="1320" t="s">
        <v>593</v>
      </c>
      <c r="D734" s="1321" t="s">
        <v>433</v>
      </c>
      <c r="E734" s="1322">
        <v>1</v>
      </c>
      <c r="F734" s="1324" t="s">
        <v>445</v>
      </c>
      <c r="G734" s="1323">
        <v>24326</v>
      </c>
      <c r="H734" s="239">
        <f t="shared" si="347"/>
        <v>3.9999999999999998E-6</v>
      </c>
      <c r="I734" s="1336">
        <v>3.9999999999999998E-6</v>
      </c>
      <c r="J734" s="1336"/>
      <c r="K734" s="1336"/>
      <c r="L734" s="1322">
        <v>1</v>
      </c>
      <c r="M734" s="227">
        <f t="shared" si="348"/>
        <v>9.7304000000000002E-2</v>
      </c>
      <c r="N734" s="227">
        <f t="shared" si="339"/>
        <v>9.7304000000000002E-2</v>
      </c>
      <c r="O734" s="228">
        <f t="shared" si="340"/>
        <v>0</v>
      </c>
      <c r="P734" s="228">
        <f t="shared" si="346"/>
        <v>0</v>
      </c>
      <c r="Q734" s="1342">
        <v>0</v>
      </c>
    </row>
    <row r="735" spans="1:17" hidden="1" outlineLevel="1">
      <c r="A735" s="270" t="s">
        <v>819</v>
      </c>
      <c r="B735" s="1316" t="s">
        <v>418</v>
      </c>
      <c r="C735" s="1316" t="s">
        <v>439</v>
      </c>
      <c r="D735" s="1317" t="s">
        <v>433</v>
      </c>
      <c r="E735" s="1318">
        <v>1.5</v>
      </c>
      <c r="F735" s="1319" t="s">
        <v>868</v>
      </c>
      <c r="G735" s="1315">
        <v>1435</v>
      </c>
      <c r="H735" s="238">
        <f t="shared" si="347"/>
        <v>2.3050999999999999E-2</v>
      </c>
      <c r="I735" s="1334">
        <v>2.3050999999999999E-2</v>
      </c>
      <c r="J735" s="1334"/>
      <c r="K735" s="1334"/>
      <c r="L735" s="1318">
        <v>0.5</v>
      </c>
      <c r="M735" s="233">
        <f t="shared" si="348"/>
        <v>24.80863875</v>
      </c>
      <c r="N735" s="233">
        <f t="shared" si="339"/>
        <v>24.80863875</v>
      </c>
      <c r="O735" s="234">
        <f t="shared" si="340"/>
        <v>0</v>
      </c>
      <c r="P735" s="234">
        <f t="shared" si="346"/>
        <v>0</v>
      </c>
      <c r="Q735" s="1341">
        <v>0</v>
      </c>
    </row>
    <row r="736" spans="1:17" hidden="1" outlineLevel="1">
      <c r="A736" s="270" t="s">
        <v>819</v>
      </c>
      <c r="B736" s="1316" t="s">
        <v>418</v>
      </c>
      <c r="C736" s="1316" t="s">
        <v>439</v>
      </c>
      <c r="D736" s="1317" t="s">
        <v>433</v>
      </c>
      <c r="E736" s="1318">
        <v>1.5</v>
      </c>
      <c r="F736" s="1319" t="s">
        <v>441</v>
      </c>
      <c r="G736" s="1315">
        <v>552.89</v>
      </c>
      <c r="H736" s="238">
        <f t="shared" si="347"/>
        <v>4.6725000000000003E-2</v>
      </c>
      <c r="I736" s="1334">
        <v>4.6725000000000003E-2</v>
      </c>
      <c r="J736" s="1334"/>
      <c r="K736" s="1334"/>
      <c r="L736" s="1318">
        <v>0.5</v>
      </c>
      <c r="M736" s="233">
        <f t="shared" si="348"/>
        <v>19.3753389375</v>
      </c>
      <c r="N736" s="233">
        <f t="shared" si="339"/>
        <v>19.3753389375</v>
      </c>
      <c r="O736" s="234">
        <f t="shared" si="340"/>
        <v>0</v>
      </c>
      <c r="P736" s="234">
        <f t="shared" si="346"/>
        <v>0</v>
      </c>
      <c r="Q736" s="1341">
        <v>0</v>
      </c>
    </row>
    <row r="737" spans="1:18" hidden="1" outlineLevel="1">
      <c r="A737" s="270" t="s">
        <v>819</v>
      </c>
      <c r="B737" s="1316" t="s">
        <v>418</v>
      </c>
      <c r="C737" s="1316" t="s">
        <v>439</v>
      </c>
      <c r="D737" s="1317" t="s">
        <v>433</v>
      </c>
      <c r="E737" s="1318">
        <v>1.5</v>
      </c>
      <c r="F737" s="1319" t="s">
        <v>442</v>
      </c>
      <c r="G737" s="1315">
        <v>4582</v>
      </c>
      <c r="H737" s="238">
        <f t="shared" si="347"/>
        <v>1.869E-3</v>
      </c>
      <c r="I737" s="1334">
        <v>1.869E-3</v>
      </c>
      <c r="J737" s="1334"/>
      <c r="K737" s="1334"/>
      <c r="L737" s="1318">
        <v>0.5</v>
      </c>
      <c r="M737" s="233">
        <f t="shared" si="348"/>
        <v>6.4228185</v>
      </c>
      <c r="N737" s="233">
        <f t="shared" si="339"/>
        <v>6.4228185</v>
      </c>
      <c r="O737" s="234">
        <f t="shared" si="340"/>
        <v>0</v>
      </c>
      <c r="P737" s="234">
        <f t="shared" si="346"/>
        <v>0</v>
      </c>
      <c r="Q737" s="1341">
        <v>0</v>
      </c>
    </row>
    <row r="738" spans="1:18" hidden="1" outlineLevel="1">
      <c r="A738" s="270" t="s">
        <v>819</v>
      </c>
      <c r="B738" s="1316" t="s">
        <v>418</v>
      </c>
      <c r="C738" s="1316" t="s">
        <v>439</v>
      </c>
      <c r="D738" s="1317" t="s">
        <v>433</v>
      </c>
      <c r="E738" s="1318">
        <v>1.5</v>
      </c>
      <c r="F738" s="1319" t="s">
        <v>443</v>
      </c>
      <c r="G738" s="1315">
        <v>2826</v>
      </c>
      <c r="H738" s="238">
        <f t="shared" si="347"/>
        <v>1.5264E-2</v>
      </c>
      <c r="I738" s="1334">
        <v>1.5264E-2</v>
      </c>
      <c r="J738" s="1334"/>
      <c r="K738" s="1334"/>
      <c r="L738" s="1318">
        <v>0.5</v>
      </c>
      <c r="M738" s="233">
        <f t="shared" si="348"/>
        <v>32.352047999999996</v>
      </c>
      <c r="N738" s="233">
        <f t="shared" si="339"/>
        <v>32.352047999999996</v>
      </c>
      <c r="O738" s="234">
        <f t="shared" si="340"/>
        <v>0</v>
      </c>
      <c r="P738" s="234">
        <f t="shared" si="346"/>
        <v>0</v>
      </c>
      <c r="Q738" s="1341">
        <v>0</v>
      </c>
    </row>
    <row r="739" spans="1:18" hidden="1" outlineLevel="1">
      <c r="A739" s="270" t="s">
        <v>819</v>
      </c>
      <c r="B739" s="1316" t="s">
        <v>418</v>
      </c>
      <c r="C739" s="1316" t="s">
        <v>439</v>
      </c>
      <c r="D739" s="1317" t="s">
        <v>433</v>
      </c>
      <c r="E739" s="1318">
        <v>1.5</v>
      </c>
      <c r="F739" s="1319" t="s">
        <v>444</v>
      </c>
      <c r="G739" s="1315">
        <v>12014</v>
      </c>
      <c r="H739" s="238">
        <f t="shared" si="347"/>
        <v>2.5539999999999998E-3</v>
      </c>
      <c r="I739" s="1334">
        <v>2.5539999999999998E-3</v>
      </c>
      <c r="J739" s="1334"/>
      <c r="K739" s="1334"/>
      <c r="L739" s="1318">
        <v>0.5</v>
      </c>
      <c r="M739" s="233">
        <f t="shared" si="348"/>
        <v>23.012816999999998</v>
      </c>
      <c r="N739" s="233">
        <f t="shared" si="339"/>
        <v>23.012816999999998</v>
      </c>
      <c r="O739" s="234">
        <f t="shared" si="340"/>
        <v>0</v>
      </c>
      <c r="P739" s="234">
        <f t="shared" si="346"/>
        <v>0</v>
      </c>
      <c r="Q739" s="1341">
        <v>0</v>
      </c>
    </row>
    <row r="740" spans="1:18" hidden="1" outlineLevel="1">
      <c r="A740" s="270" t="s">
        <v>819</v>
      </c>
      <c r="B740" s="1320" t="s">
        <v>418</v>
      </c>
      <c r="C740" s="1320" t="s">
        <v>439</v>
      </c>
      <c r="D740" s="1321" t="s">
        <v>433</v>
      </c>
      <c r="E740" s="1322">
        <v>1.5</v>
      </c>
      <c r="F740" s="1324" t="s">
        <v>445</v>
      </c>
      <c r="G740" s="1323">
        <v>24326</v>
      </c>
      <c r="H740" s="239">
        <f t="shared" si="347"/>
        <v>0</v>
      </c>
      <c r="I740" s="1336"/>
      <c r="J740" s="1336"/>
      <c r="K740" s="1336"/>
      <c r="L740" s="1322">
        <v>0.5</v>
      </c>
      <c r="M740" s="227">
        <f t="shared" si="348"/>
        <v>0</v>
      </c>
      <c r="N740" s="227">
        <f t="shared" si="339"/>
        <v>0</v>
      </c>
      <c r="O740" s="228">
        <f t="shared" si="340"/>
        <v>0</v>
      </c>
      <c r="P740" s="228">
        <f t="shared" si="346"/>
        <v>0</v>
      </c>
      <c r="Q740" s="1342">
        <v>0</v>
      </c>
    </row>
    <row r="741" spans="1:18" hidden="1" outlineLevel="1">
      <c r="A741" s="270" t="s">
        <v>819</v>
      </c>
      <c r="B741" s="1316" t="s">
        <v>411</v>
      </c>
      <c r="C741" s="1316" t="s">
        <v>440</v>
      </c>
      <c r="D741" s="1317" t="s">
        <v>433</v>
      </c>
      <c r="E741" s="1318">
        <v>1.5</v>
      </c>
      <c r="F741" s="1319" t="s">
        <v>868</v>
      </c>
      <c r="G741" s="1315">
        <v>1435</v>
      </c>
      <c r="H741" s="238">
        <f t="shared" si="347"/>
        <v>1.176E-2</v>
      </c>
      <c r="I741" s="1333">
        <v>1.176E-2</v>
      </c>
      <c r="J741" s="1333"/>
      <c r="K741" s="1334"/>
      <c r="L741" s="1318">
        <v>0.5</v>
      </c>
      <c r="M741" s="233">
        <f t="shared" si="348"/>
        <v>12.656699999999999</v>
      </c>
      <c r="N741" s="233">
        <f t="shared" si="339"/>
        <v>12.656699999999999</v>
      </c>
      <c r="O741" s="234">
        <f t="shared" si="340"/>
        <v>0</v>
      </c>
      <c r="P741" s="234">
        <f t="shared" si="346"/>
        <v>0</v>
      </c>
      <c r="Q741" s="1341">
        <v>0</v>
      </c>
    </row>
    <row r="742" spans="1:18" hidden="1" outlineLevel="1">
      <c r="A742" s="270" t="s">
        <v>819</v>
      </c>
      <c r="B742" s="1316" t="s">
        <v>411</v>
      </c>
      <c r="C742" s="1316" t="s">
        <v>440</v>
      </c>
      <c r="D742" s="1317" t="s">
        <v>433</v>
      </c>
      <c r="E742" s="1318">
        <v>1.5</v>
      </c>
      <c r="F742" s="1317" t="s">
        <v>441</v>
      </c>
      <c r="G742" s="1315">
        <v>552.89</v>
      </c>
      <c r="H742" s="238">
        <f t="shared" ref="H742" si="349">SUM(I742:K742)</f>
        <v>1.372E-2</v>
      </c>
      <c r="I742" s="1333">
        <v>1.372E-2</v>
      </c>
      <c r="J742" s="1333"/>
      <c r="K742" s="1334"/>
      <c r="L742" s="1318">
        <v>0.5</v>
      </c>
      <c r="M742" s="233">
        <f t="shared" ref="M742:M750" si="350">SUM(N742:P742)-Q742</f>
        <v>5.6892380999999999</v>
      </c>
      <c r="N742" s="233">
        <f t="shared" si="339"/>
        <v>5.6892380999999999</v>
      </c>
      <c r="O742" s="234">
        <f t="shared" si="340"/>
        <v>0</v>
      </c>
      <c r="P742" s="234">
        <f t="shared" si="346"/>
        <v>0</v>
      </c>
      <c r="Q742" s="1341">
        <v>0</v>
      </c>
    </row>
    <row r="743" spans="1:18" hidden="1" outlineLevel="1">
      <c r="A743" s="270" t="s">
        <v>819</v>
      </c>
      <c r="B743" s="1316" t="s">
        <v>411</v>
      </c>
      <c r="C743" s="1316" t="s">
        <v>440</v>
      </c>
      <c r="D743" s="1317" t="s">
        <v>433</v>
      </c>
      <c r="E743" s="1318">
        <v>1.5</v>
      </c>
      <c r="F743" s="1319" t="s">
        <v>442</v>
      </c>
      <c r="G743" s="1315">
        <v>4582</v>
      </c>
      <c r="H743" s="238">
        <f>SUM(I743:K743)</f>
        <v>0</v>
      </c>
      <c r="I743" s="1333"/>
      <c r="J743" s="1333"/>
      <c r="K743" s="1334"/>
      <c r="L743" s="1318">
        <v>0.5</v>
      </c>
      <c r="M743" s="233">
        <f t="shared" si="350"/>
        <v>0</v>
      </c>
      <c r="N743" s="233">
        <f t="shared" si="339"/>
        <v>0</v>
      </c>
      <c r="O743" s="234">
        <f t="shared" si="340"/>
        <v>0</v>
      </c>
      <c r="P743" s="234">
        <f t="shared" si="346"/>
        <v>0</v>
      </c>
      <c r="Q743" s="1341">
        <v>0</v>
      </c>
    </row>
    <row r="744" spans="1:18" hidden="1" outlineLevel="1">
      <c r="A744" s="270" t="s">
        <v>819</v>
      </c>
      <c r="B744" s="1316" t="s">
        <v>411</v>
      </c>
      <c r="C744" s="1316" t="s">
        <v>440</v>
      </c>
      <c r="D744" s="1317" t="s">
        <v>433</v>
      </c>
      <c r="E744" s="1318">
        <v>1.5</v>
      </c>
      <c r="F744" s="1319" t="s">
        <v>443</v>
      </c>
      <c r="G744" s="1315">
        <v>2826</v>
      </c>
      <c r="H744" s="238">
        <f t="shared" ref="H744:H750" si="351">SUM(I744:K744)</f>
        <v>2.4500000000000001E-2</v>
      </c>
      <c r="I744" s="1333">
        <v>2.4500000000000001E-2</v>
      </c>
      <c r="J744" s="1333"/>
      <c r="K744" s="1334"/>
      <c r="L744" s="1318">
        <v>0.5</v>
      </c>
      <c r="M744" s="233">
        <f t="shared" si="350"/>
        <v>51.927750000000003</v>
      </c>
      <c r="N744" s="233">
        <f t="shared" si="339"/>
        <v>51.927750000000003</v>
      </c>
      <c r="O744" s="234">
        <f t="shared" si="340"/>
        <v>0</v>
      </c>
      <c r="P744" s="234">
        <f t="shared" si="346"/>
        <v>0</v>
      </c>
      <c r="Q744" s="1341">
        <v>0</v>
      </c>
    </row>
    <row r="745" spans="1:18" hidden="1" outlineLevel="1">
      <c r="A745" s="270" t="s">
        <v>819</v>
      </c>
      <c r="B745" s="1320" t="s">
        <v>411</v>
      </c>
      <c r="C745" s="1320" t="s">
        <v>440</v>
      </c>
      <c r="D745" s="1321" t="s">
        <v>433</v>
      </c>
      <c r="E745" s="1322">
        <v>1.5</v>
      </c>
      <c r="F745" s="1324" t="s">
        <v>444</v>
      </c>
      <c r="G745" s="1323">
        <v>12014</v>
      </c>
      <c r="H745" s="239">
        <f t="shared" si="351"/>
        <v>2.4499999999999999E-3</v>
      </c>
      <c r="I745" s="1335">
        <v>2.4499999999999999E-3</v>
      </c>
      <c r="J745" s="1335"/>
      <c r="K745" s="1336"/>
      <c r="L745" s="1322">
        <v>0.5</v>
      </c>
      <c r="M745" s="227">
        <f t="shared" si="350"/>
        <v>22.075724999999998</v>
      </c>
      <c r="N745" s="227">
        <f t="shared" si="339"/>
        <v>22.075724999999998</v>
      </c>
      <c r="O745" s="228">
        <f t="shared" si="340"/>
        <v>0</v>
      </c>
      <c r="P745" s="228">
        <f t="shared" si="346"/>
        <v>0</v>
      </c>
      <c r="Q745" s="1342">
        <v>0</v>
      </c>
    </row>
    <row r="746" spans="1:18" hidden="1" outlineLevel="1">
      <c r="A746" s="270" t="s">
        <v>819</v>
      </c>
      <c r="B746" s="1316" t="s">
        <v>409</v>
      </c>
      <c r="C746" s="1316" t="s">
        <v>594</v>
      </c>
      <c r="D746" s="1317" t="s">
        <v>433</v>
      </c>
      <c r="E746" s="1318">
        <v>1</v>
      </c>
      <c r="F746" s="1319" t="s">
        <v>868</v>
      </c>
      <c r="G746" s="1315">
        <v>1435</v>
      </c>
      <c r="H746" s="238">
        <f t="shared" si="351"/>
        <v>1.636E-2</v>
      </c>
      <c r="I746" s="1333">
        <v>1.636E-2</v>
      </c>
      <c r="J746" s="1333"/>
      <c r="K746" s="1334"/>
      <c r="L746" s="1318">
        <v>0.5</v>
      </c>
      <c r="M746" s="233">
        <f t="shared" si="350"/>
        <v>11.738299999999999</v>
      </c>
      <c r="N746" s="233">
        <f t="shared" si="339"/>
        <v>11.738299999999999</v>
      </c>
      <c r="O746" s="234">
        <f t="shared" si="340"/>
        <v>0</v>
      </c>
      <c r="P746" s="234">
        <f t="shared" si="346"/>
        <v>0</v>
      </c>
      <c r="Q746" s="1341">
        <v>0</v>
      </c>
    </row>
    <row r="747" spans="1:18" hidden="1" outlineLevel="1">
      <c r="A747" s="270" t="s">
        <v>819</v>
      </c>
      <c r="B747" s="1316" t="s">
        <v>409</v>
      </c>
      <c r="C747" s="1316" t="s">
        <v>594</v>
      </c>
      <c r="D747" s="1317" t="s">
        <v>433</v>
      </c>
      <c r="E747" s="1318">
        <v>1</v>
      </c>
      <c r="F747" s="1317" t="s">
        <v>441</v>
      </c>
      <c r="G747" s="1315">
        <v>552.89</v>
      </c>
      <c r="H747" s="238">
        <f t="shared" si="351"/>
        <v>1.9632E-2</v>
      </c>
      <c r="I747" s="1333">
        <v>1.9632E-2</v>
      </c>
      <c r="J747" s="1333"/>
      <c r="K747" s="1334"/>
      <c r="L747" s="1318">
        <v>0.5</v>
      </c>
      <c r="M747" s="233">
        <f t="shared" si="350"/>
        <v>5.4271682400000003</v>
      </c>
      <c r="N747" s="233">
        <f t="shared" si="339"/>
        <v>5.4271682400000003</v>
      </c>
      <c r="O747" s="234">
        <f t="shared" si="340"/>
        <v>0</v>
      </c>
      <c r="P747" s="234">
        <f t="shared" si="346"/>
        <v>0</v>
      </c>
      <c r="Q747" s="1341">
        <v>0</v>
      </c>
    </row>
    <row r="748" spans="1:18" hidden="1" outlineLevel="1">
      <c r="A748" s="270" t="s">
        <v>819</v>
      </c>
      <c r="B748" s="1316" t="s">
        <v>409</v>
      </c>
      <c r="C748" s="1316" t="s">
        <v>594</v>
      </c>
      <c r="D748" s="1317" t="s">
        <v>433</v>
      </c>
      <c r="E748" s="1318">
        <v>1</v>
      </c>
      <c r="F748" s="1319" t="s">
        <v>442</v>
      </c>
      <c r="G748" s="1315">
        <v>4582</v>
      </c>
      <c r="H748" s="238">
        <f t="shared" si="351"/>
        <v>0</v>
      </c>
      <c r="I748" s="1333"/>
      <c r="J748" s="1333"/>
      <c r="K748" s="1334"/>
      <c r="L748" s="1318">
        <v>0.5</v>
      </c>
      <c r="M748" s="233">
        <f t="shared" si="350"/>
        <v>0</v>
      </c>
      <c r="N748" s="233">
        <f t="shared" si="339"/>
        <v>0</v>
      </c>
      <c r="O748" s="234">
        <f t="shared" si="340"/>
        <v>0</v>
      </c>
      <c r="P748" s="234">
        <f t="shared" si="346"/>
        <v>0</v>
      </c>
      <c r="Q748" s="1341">
        <v>0</v>
      </c>
    </row>
    <row r="749" spans="1:18" hidden="1" outlineLevel="1">
      <c r="A749" s="270" t="s">
        <v>819</v>
      </c>
      <c r="B749" s="1316" t="s">
        <v>409</v>
      </c>
      <c r="C749" s="1316" t="s">
        <v>594</v>
      </c>
      <c r="D749" s="1317" t="s">
        <v>433</v>
      </c>
      <c r="E749" s="1318">
        <v>1</v>
      </c>
      <c r="F749" s="1319" t="s">
        <v>443</v>
      </c>
      <c r="G749" s="1315">
        <v>2826</v>
      </c>
      <c r="H749" s="238">
        <f t="shared" si="351"/>
        <v>1.636E-2</v>
      </c>
      <c r="I749" s="1333">
        <v>1.636E-2</v>
      </c>
      <c r="J749" s="1333"/>
      <c r="K749" s="1334"/>
      <c r="L749" s="1318">
        <v>0.5</v>
      </c>
      <c r="M749" s="235">
        <f t="shared" si="350"/>
        <v>23.116679999999999</v>
      </c>
      <c r="N749" s="233">
        <f t="shared" si="339"/>
        <v>23.116679999999999</v>
      </c>
      <c r="O749" s="234">
        <f t="shared" si="340"/>
        <v>0</v>
      </c>
      <c r="P749" s="234">
        <f t="shared" si="346"/>
        <v>0</v>
      </c>
      <c r="Q749" s="1341">
        <v>0</v>
      </c>
    </row>
    <row r="750" spans="1:18" ht="13.8" hidden="1" outlineLevel="1" thickBot="1">
      <c r="A750" s="191" t="s">
        <v>819</v>
      </c>
      <c r="B750" s="1320" t="s">
        <v>409</v>
      </c>
      <c r="C750" s="1320" t="s">
        <v>594</v>
      </c>
      <c r="D750" s="1321" t="s">
        <v>433</v>
      </c>
      <c r="E750" s="1322">
        <v>1</v>
      </c>
      <c r="F750" s="1324" t="s">
        <v>444</v>
      </c>
      <c r="G750" s="1323">
        <v>12014</v>
      </c>
      <c r="H750" s="239">
        <f t="shared" si="351"/>
        <v>1.227E-3</v>
      </c>
      <c r="I750" s="1335">
        <v>1.227E-3</v>
      </c>
      <c r="J750" s="1335"/>
      <c r="K750" s="1336"/>
      <c r="L750" s="1322">
        <v>0.5</v>
      </c>
      <c r="M750" s="267">
        <f t="shared" si="350"/>
        <v>7.3705889999999998</v>
      </c>
      <c r="N750" s="227">
        <f t="shared" si="339"/>
        <v>7.3705889999999998</v>
      </c>
      <c r="O750" s="228">
        <f t="shared" si="340"/>
        <v>0</v>
      </c>
      <c r="P750" s="228">
        <f t="shared" si="346"/>
        <v>0</v>
      </c>
      <c r="Q750" s="1342">
        <v>0</v>
      </c>
      <c r="R750" s="512">
        <f>SUM(M711:M750)</f>
        <v>2998.3407419475002</v>
      </c>
    </row>
    <row r="751" spans="1:18" ht="13.8" collapsed="1" thickBot="1">
      <c r="A751" s="192" t="s">
        <v>1309</v>
      </c>
      <c r="B751" s="193"/>
      <c r="C751" s="193"/>
      <c r="D751" s="193"/>
      <c r="E751" s="194"/>
      <c r="F751" s="195"/>
      <c r="G751" s="194"/>
      <c r="H751" s="240">
        <f>SUM(H589:H750)</f>
        <v>2.5984840000000022</v>
      </c>
      <c r="I751" s="273"/>
      <c r="J751" s="273"/>
      <c r="K751" s="273"/>
      <c r="L751" s="195"/>
      <c r="M751" s="232">
        <f>SUM(M589:M750)</f>
        <v>16189.615585595004</v>
      </c>
      <c r="N751" s="236">
        <f>SUM(N589:N750)</f>
        <v>4834.3274743949978</v>
      </c>
      <c r="O751" s="236">
        <f>SUM(O589:O750)</f>
        <v>11355.288111200003</v>
      </c>
      <c r="P751" s="236">
        <f>SUM(P589:P750)</f>
        <v>0</v>
      </c>
      <c r="Q751" s="236">
        <f>SUM(Q589:Q750)</f>
        <v>0</v>
      </c>
    </row>
    <row r="752" spans="1:18">
      <c r="A752" s="197"/>
      <c r="B752" s="198"/>
      <c r="C752" s="198"/>
      <c r="D752" s="198"/>
      <c r="E752" s="199"/>
      <c r="F752" s="200"/>
      <c r="G752" s="199"/>
      <c r="H752" s="199"/>
      <c r="I752" s="199"/>
      <c r="J752" s="1766" t="s">
        <v>1186</v>
      </c>
      <c r="K752" s="1766"/>
      <c r="L752" s="1766"/>
      <c r="M752" s="1766"/>
      <c r="N752" s="514">
        <f>'2. Kasumiaruanne'!L33</f>
        <v>4834.3499999999985</v>
      </c>
      <c r="O752" s="514">
        <f>'2. Kasumiaruanne'!N33</f>
        <v>11355.29</v>
      </c>
      <c r="P752" s="204"/>
      <c r="Q752" s="204"/>
    </row>
    <row r="753" spans="1:18">
      <c r="A753" s="197"/>
      <c r="B753" s="198"/>
      <c r="C753" s="198"/>
      <c r="D753" s="198"/>
      <c r="E753" s="199"/>
      <c r="F753" s="200"/>
      <c r="G753" s="199"/>
      <c r="H753" s="199"/>
      <c r="I753" s="199"/>
      <c r="J753" s="199"/>
      <c r="K753" s="199"/>
      <c r="L753" s="200"/>
      <c r="M753" s="516" t="s">
        <v>369</v>
      </c>
      <c r="N753" s="517">
        <f>N751-N752</f>
        <v>-2.2525605000737414E-2</v>
      </c>
      <c r="O753" s="517">
        <f>O751-O752</f>
        <v>-1.8887999976868741E-3</v>
      </c>
      <c r="P753" s="204"/>
      <c r="Q753" s="204"/>
    </row>
    <row r="754" spans="1:18" ht="13.8" thickBot="1">
      <c r="A754" s="15" t="s">
        <v>813</v>
      </c>
      <c r="B754" s="206"/>
      <c r="C754" s="206"/>
      <c r="D754" s="206"/>
      <c r="E754" s="207"/>
      <c r="F754" s="208"/>
      <c r="G754" s="207"/>
      <c r="H754" s="207"/>
      <c r="I754" s="209"/>
      <c r="J754" s="208"/>
      <c r="K754" s="208"/>
      <c r="L754" s="208"/>
      <c r="M754" s="210"/>
      <c r="N754" s="210"/>
      <c r="O754" s="210"/>
      <c r="P754" s="208"/>
      <c r="Q754" s="208"/>
    </row>
    <row r="755" spans="1:18" hidden="1" outlineLevel="1">
      <c r="A755" s="775" t="s">
        <v>820</v>
      </c>
      <c r="B755" s="1343" t="s">
        <v>408</v>
      </c>
      <c r="C755" s="1330">
        <v>841</v>
      </c>
      <c r="D755" s="1309" t="s">
        <v>427</v>
      </c>
      <c r="E755" s="1344" t="s">
        <v>349</v>
      </c>
      <c r="F755" s="1309" t="s">
        <v>429</v>
      </c>
      <c r="G755" s="1345">
        <v>9.3490000000000004E-2</v>
      </c>
      <c r="H755" s="776">
        <f>SUM(I755:K755)</f>
        <v>426</v>
      </c>
      <c r="I755" s="1353">
        <v>426</v>
      </c>
      <c r="J755" s="1353"/>
      <c r="K755" s="1353"/>
      <c r="L755" s="1344" t="s">
        <v>349</v>
      </c>
      <c r="M755" s="772">
        <f>SUM(N755:P755)</f>
        <v>39.826740000000001</v>
      </c>
      <c r="N755" s="773">
        <f>G755*I755</f>
        <v>39.826740000000001</v>
      </c>
      <c r="O755" s="773">
        <f>G755*J755*5</f>
        <v>0</v>
      </c>
      <c r="P755" s="773">
        <f>G755*K755*5</f>
        <v>0</v>
      </c>
      <c r="Q755" s="777"/>
      <c r="R755" s="774"/>
    </row>
    <row r="756" spans="1:18" hidden="1" outlineLevel="1">
      <c r="A756" s="211" t="s">
        <v>820</v>
      </c>
      <c r="B756" s="1346" t="s">
        <v>409</v>
      </c>
      <c r="C756" s="1332">
        <v>21717</v>
      </c>
      <c r="D756" s="1313" t="s">
        <v>427</v>
      </c>
      <c r="E756" s="1347" t="s">
        <v>349</v>
      </c>
      <c r="F756" s="1313" t="s">
        <v>429</v>
      </c>
      <c r="G756" s="1349">
        <v>9.3490000000000004E-2</v>
      </c>
      <c r="H756" s="222">
        <f t="shared" ref="H756:H785" si="352">SUM(I756:K756)</f>
        <v>805</v>
      </c>
      <c r="I756" s="1354">
        <v>805</v>
      </c>
      <c r="J756" s="1354"/>
      <c r="K756" s="1354"/>
      <c r="L756" s="1347" t="s">
        <v>349</v>
      </c>
      <c r="M756" s="223">
        <f t="shared" ref="M756:M757" si="353">SUM(N756:P756)</f>
        <v>75.259450000000001</v>
      </c>
      <c r="N756" s="224">
        <f t="shared" ref="N756:N854" si="354">G756*I756</f>
        <v>75.259450000000001</v>
      </c>
      <c r="O756" s="224">
        <f t="shared" ref="O756:O854" si="355">G756*J756*5</f>
        <v>0</v>
      </c>
      <c r="P756" s="224">
        <f t="shared" ref="P756:P854" si="356">G756*K756*5</f>
        <v>0</v>
      </c>
      <c r="Q756" s="208"/>
    </row>
    <row r="757" spans="1:18" hidden="1" outlineLevel="1">
      <c r="A757" s="211" t="s">
        <v>820</v>
      </c>
      <c r="B757" s="1346" t="s">
        <v>410</v>
      </c>
      <c r="C757" s="1332">
        <v>749</v>
      </c>
      <c r="D757" s="1313" t="s">
        <v>427</v>
      </c>
      <c r="E757" s="1347" t="s">
        <v>349</v>
      </c>
      <c r="F757" s="1313" t="s">
        <v>430</v>
      </c>
      <c r="G757" s="1349">
        <v>9.9339999999999998E-2</v>
      </c>
      <c r="H757" s="222">
        <f t="shared" si="352"/>
        <v>7740</v>
      </c>
      <c r="I757" s="1354">
        <v>7740</v>
      </c>
      <c r="J757" s="1354"/>
      <c r="K757" s="1354"/>
      <c r="L757" s="1347" t="s">
        <v>349</v>
      </c>
      <c r="M757" s="223">
        <f t="shared" si="353"/>
        <v>768.89159999999993</v>
      </c>
      <c r="N757" s="224">
        <f t="shared" si="354"/>
        <v>768.89159999999993</v>
      </c>
      <c r="O757" s="224">
        <f t="shared" si="355"/>
        <v>0</v>
      </c>
      <c r="P757" s="224">
        <f t="shared" si="356"/>
        <v>0</v>
      </c>
      <c r="Q757" s="208"/>
    </row>
    <row r="758" spans="1:18" hidden="1" outlineLevel="1">
      <c r="A758" s="211" t="s">
        <v>820</v>
      </c>
      <c r="B758" s="1346" t="s">
        <v>411</v>
      </c>
      <c r="C758" s="1332">
        <v>20044</v>
      </c>
      <c r="D758" s="1313" t="s">
        <v>427</v>
      </c>
      <c r="E758" s="1347" t="s">
        <v>349</v>
      </c>
      <c r="F758" s="1313" t="s">
        <v>430</v>
      </c>
      <c r="G758" s="1349">
        <v>9.9339999999999998E-2</v>
      </c>
      <c r="H758" s="222">
        <f t="shared" si="352"/>
        <v>1121</v>
      </c>
      <c r="I758" s="1354">
        <v>1121</v>
      </c>
      <c r="J758" s="1354"/>
      <c r="K758" s="1354"/>
      <c r="L758" s="1347" t="s">
        <v>349</v>
      </c>
      <c r="M758" s="223">
        <f t="shared" ref="M758:M765" si="357">SUM(N758:P758)</f>
        <v>111.36014</v>
      </c>
      <c r="N758" s="224">
        <f t="shared" si="354"/>
        <v>111.36014</v>
      </c>
      <c r="O758" s="224">
        <f t="shared" si="355"/>
        <v>0</v>
      </c>
      <c r="P758" s="224">
        <f t="shared" si="356"/>
        <v>0</v>
      </c>
      <c r="Q758" s="208"/>
    </row>
    <row r="759" spans="1:18" hidden="1" outlineLevel="1">
      <c r="A759" s="211" t="s">
        <v>820</v>
      </c>
      <c r="B759" s="1346" t="s">
        <v>412</v>
      </c>
      <c r="C759" s="1332">
        <v>15141</v>
      </c>
      <c r="D759" s="1313" t="s">
        <v>427</v>
      </c>
      <c r="E759" s="1347" t="s">
        <v>349</v>
      </c>
      <c r="F759" s="1313" t="s">
        <v>429</v>
      </c>
      <c r="G759" s="1349">
        <v>9.3490000000000004E-2</v>
      </c>
      <c r="H759" s="222">
        <f t="shared" si="352"/>
        <v>334</v>
      </c>
      <c r="I759" s="1354">
        <v>334</v>
      </c>
      <c r="J759" s="1354"/>
      <c r="K759" s="1354"/>
      <c r="L759" s="1347" t="s">
        <v>349</v>
      </c>
      <c r="M759" s="223">
        <f t="shared" si="357"/>
        <v>31.225660000000001</v>
      </c>
      <c r="N759" s="224">
        <f t="shared" si="354"/>
        <v>31.225660000000001</v>
      </c>
      <c r="O759" s="224">
        <f t="shared" si="355"/>
        <v>0</v>
      </c>
      <c r="P759" s="224">
        <f t="shared" si="356"/>
        <v>0</v>
      </c>
      <c r="Q759" s="208"/>
    </row>
    <row r="760" spans="1:18" hidden="1" outlineLevel="1">
      <c r="A760" s="211" t="s">
        <v>820</v>
      </c>
      <c r="B760" s="1346" t="s">
        <v>413</v>
      </c>
      <c r="C760" s="1332">
        <v>16904</v>
      </c>
      <c r="D760" s="1313" t="s">
        <v>427</v>
      </c>
      <c r="E760" s="1347" t="s">
        <v>349</v>
      </c>
      <c r="F760" s="1313" t="s">
        <v>430</v>
      </c>
      <c r="G760" s="1349">
        <v>9.9339999999999998E-2</v>
      </c>
      <c r="H760" s="222">
        <f t="shared" si="352"/>
        <v>1620</v>
      </c>
      <c r="I760" s="1354">
        <v>1620</v>
      </c>
      <c r="J760" s="1354"/>
      <c r="K760" s="1354"/>
      <c r="L760" s="1347" t="s">
        <v>349</v>
      </c>
      <c r="M760" s="223">
        <f t="shared" si="357"/>
        <v>160.9308</v>
      </c>
      <c r="N760" s="224">
        <f t="shared" si="354"/>
        <v>160.9308</v>
      </c>
      <c r="O760" s="224">
        <f t="shared" si="355"/>
        <v>0</v>
      </c>
      <c r="P760" s="224">
        <f t="shared" si="356"/>
        <v>0</v>
      </c>
      <c r="Q760" s="208"/>
    </row>
    <row r="761" spans="1:18" hidden="1" outlineLevel="1">
      <c r="A761" s="211" t="s">
        <v>820</v>
      </c>
      <c r="B761" s="1346" t="s">
        <v>595</v>
      </c>
      <c r="C761" s="1332">
        <v>891</v>
      </c>
      <c r="D761" s="1313" t="s">
        <v>427</v>
      </c>
      <c r="E761" s="1347" t="s">
        <v>349</v>
      </c>
      <c r="F761" s="1313" t="s">
        <v>429</v>
      </c>
      <c r="G761" s="1349">
        <v>9.3490000000000004E-2</v>
      </c>
      <c r="H761" s="222">
        <f t="shared" si="352"/>
        <v>1767</v>
      </c>
      <c r="I761" s="1354">
        <v>1767</v>
      </c>
      <c r="J761" s="1354"/>
      <c r="K761" s="1354"/>
      <c r="L761" s="1347" t="s">
        <v>349</v>
      </c>
      <c r="M761" s="223">
        <f t="shared" si="357"/>
        <v>165.19683000000001</v>
      </c>
      <c r="N761" s="224">
        <f t="shared" si="354"/>
        <v>165.19683000000001</v>
      </c>
      <c r="O761" s="224">
        <f t="shared" si="355"/>
        <v>0</v>
      </c>
      <c r="P761" s="224">
        <f t="shared" si="356"/>
        <v>0</v>
      </c>
      <c r="Q761" s="208"/>
    </row>
    <row r="762" spans="1:18" hidden="1" outlineLevel="1">
      <c r="A762" s="211" t="s">
        <v>820</v>
      </c>
      <c r="B762" s="1346" t="s">
        <v>606</v>
      </c>
      <c r="C762" s="1332">
        <v>892</v>
      </c>
      <c r="D762" s="1313" t="s">
        <v>427</v>
      </c>
      <c r="E762" s="1347" t="s">
        <v>349</v>
      </c>
      <c r="F762" s="1313" t="s">
        <v>429</v>
      </c>
      <c r="G762" s="1349">
        <v>9.3490000000000004E-2</v>
      </c>
      <c r="H762" s="222">
        <f t="shared" si="352"/>
        <v>5685</v>
      </c>
      <c r="I762" s="1354">
        <v>5685</v>
      </c>
      <c r="J762" s="1354"/>
      <c r="K762" s="1354"/>
      <c r="L762" s="1347" t="s">
        <v>349</v>
      </c>
      <c r="M762" s="223">
        <f t="shared" si="357"/>
        <v>531.49065000000007</v>
      </c>
      <c r="N762" s="224">
        <f t="shared" si="354"/>
        <v>531.49065000000007</v>
      </c>
      <c r="O762" s="224">
        <f t="shared" si="355"/>
        <v>0</v>
      </c>
      <c r="P762" s="224">
        <f t="shared" si="356"/>
        <v>0</v>
      </c>
      <c r="Q762" s="208"/>
    </row>
    <row r="763" spans="1:18" hidden="1" outlineLevel="1">
      <c r="A763" s="211" t="s">
        <v>820</v>
      </c>
      <c r="B763" s="1346" t="s">
        <v>1302</v>
      </c>
      <c r="C763" s="1332">
        <v>708</v>
      </c>
      <c r="D763" s="1313" t="s">
        <v>427</v>
      </c>
      <c r="E763" s="1347" t="s">
        <v>349</v>
      </c>
      <c r="F763" s="1313" t="s">
        <v>430</v>
      </c>
      <c r="G763" s="1349">
        <v>9.9339999999999998E-2</v>
      </c>
      <c r="H763" s="222">
        <f t="shared" ref="H763" si="358">SUM(I763:K763)</f>
        <v>0</v>
      </c>
      <c r="I763" s="1354">
        <v>0</v>
      </c>
      <c r="J763" s="1354"/>
      <c r="K763" s="1354"/>
      <c r="L763" s="1347" t="s">
        <v>349</v>
      </c>
      <c r="M763" s="223">
        <f t="shared" ref="M763" si="359">SUM(N763:P763)</f>
        <v>0</v>
      </c>
      <c r="N763" s="224">
        <f t="shared" ref="N763" si="360">G763*I763</f>
        <v>0</v>
      </c>
      <c r="O763" s="224">
        <f t="shared" ref="O763" si="361">G763*J763*5</f>
        <v>0</v>
      </c>
      <c r="P763" s="224">
        <f t="shared" ref="P763" si="362">G763*K763*5</f>
        <v>0</v>
      </c>
      <c r="Q763" s="208"/>
    </row>
    <row r="764" spans="1:18" hidden="1" outlineLevel="1">
      <c r="A764" s="211" t="s">
        <v>820</v>
      </c>
      <c r="B764" s="1346" t="s">
        <v>414</v>
      </c>
      <c r="C764" s="1332">
        <v>16757</v>
      </c>
      <c r="D764" s="1313" t="s">
        <v>427</v>
      </c>
      <c r="E764" s="1347" t="s">
        <v>349</v>
      </c>
      <c r="F764" s="1313" t="s">
        <v>429</v>
      </c>
      <c r="G764" s="1349">
        <v>9.3490000000000004E-2</v>
      </c>
      <c r="H764" s="222">
        <f t="shared" si="352"/>
        <v>978</v>
      </c>
      <c r="I764" s="1354">
        <v>978</v>
      </c>
      <c r="J764" s="1354"/>
      <c r="K764" s="1354"/>
      <c r="L764" s="1347" t="s">
        <v>349</v>
      </c>
      <c r="M764" s="223">
        <f t="shared" si="357"/>
        <v>91.433220000000006</v>
      </c>
      <c r="N764" s="224">
        <f t="shared" si="354"/>
        <v>91.433220000000006</v>
      </c>
      <c r="O764" s="224">
        <f t="shared" si="355"/>
        <v>0</v>
      </c>
      <c r="P764" s="224">
        <f t="shared" si="356"/>
        <v>0</v>
      </c>
      <c r="Q764" s="208"/>
    </row>
    <row r="765" spans="1:18" hidden="1" outlineLevel="1">
      <c r="A765" s="211" t="s">
        <v>820</v>
      </c>
      <c r="B765" s="1346" t="s">
        <v>596</v>
      </c>
      <c r="C765" s="1332">
        <v>878</v>
      </c>
      <c r="D765" s="1313" t="s">
        <v>427</v>
      </c>
      <c r="E765" s="1347" t="s">
        <v>349</v>
      </c>
      <c r="F765" s="1313" t="s">
        <v>429</v>
      </c>
      <c r="G765" s="1349">
        <v>9.3490000000000004E-2</v>
      </c>
      <c r="H765" s="222">
        <f t="shared" si="352"/>
        <v>3553</v>
      </c>
      <c r="I765" s="1354">
        <v>3553</v>
      </c>
      <c r="J765" s="1354"/>
      <c r="K765" s="1354"/>
      <c r="L765" s="1347" t="s">
        <v>349</v>
      </c>
      <c r="M765" s="223">
        <f t="shared" si="357"/>
        <v>332.16997000000003</v>
      </c>
      <c r="N765" s="224">
        <f t="shared" si="354"/>
        <v>332.16997000000003</v>
      </c>
      <c r="O765" s="224">
        <f t="shared" si="355"/>
        <v>0</v>
      </c>
      <c r="P765" s="224">
        <f t="shared" si="356"/>
        <v>0</v>
      </c>
      <c r="Q765" s="208"/>
    </row>
    <row r="766" spans="1:18" hidden="1" outlineLevel="1">
      <c r="A766" s="211" t="s">
        <v>820</v>
      </c>
      <c r="B766" s="1346" t="s">
        <v>597</v>
      </c>
      <c r="C766" s="1332">
        <v>879</v>
      </c>
      <c r="D766" s="1313" t="s">
        <v>427</v>
      </c>
      <c r="E766" s="1347" t="s">
        <v>349</v>
      </c>
      <c r="F766" s="1313" t="s">
        <v>429</v>
      </c>
      <c r="G766" s="1349">
        <v>9.3490000000000004E-2</v>
      </c>
      <c r="H766" s="222">
        <f t="shared" si="352"/>
        <v>5171</v>
      </c>
      <c r="I766" s="1354">
        <v>5171</v>
      </c>
      <c r="J766" s="1354"/>
      <c r="K766" s="1354"/>
      <c r="L766" s="1347" t="s">
        <v>349</v>
      </c>
      <c r="M766" s="223">
        <f t="shared" ref="M766:M782" si="363">SUM(N766:P766)</f>
        <v>483.43679000000003</v>
      </c>
      <c r="N766" s="224">
        <f t="shared" si="354"/>
        <v>483.43679000000003</v>
      </c>
      <c r="O766" s="224">
        <f t="shared" si="355"/>
        <v>0</v>
      </c>
      <c r="P766" s="224">
        <f t="shared" si="356"/>
        <v>0</v>
      </c>
      <c r="Q766" s="208"/>
    </row>
    <row r="767" spans="1:18" hidden="1" outlineLevel="1">
      <c r="A767" s="211" t="s">
        <v>820</v>
      </c>
      <c r="B767" s="1346" t="s">
        <v>598</v>
      </c>
      <c r="C767" s="1332">
        <v>880</v>
      </c>
      <c r="D767" s="1313" t="s">
        <v>427</v>
      </c>
      <c r="E767" s="1347" t="s">
        <v>349</v>
      </c>
      <c r="F767" s="1313" t="s">
        <v>429</v>
      </c>
      <c r="G767" s="1349">
        <v>9.3490000000000004E-2</v>
      </c>
      <c r="H767" s="222">
        <f t="shared" si="352"/>
        <v>3736</v>
      </c>
      <c r="I767" s="1354">
        <v>3736</v>
      </c>
      <c r="J767" s="1354"/>
      <c r="K767" s="1354"/>
      <c r="L767" s="1347" t="s">
        <v>349</v>
      </c>
      <c r="M767" s="223">
        <f t="shared" si="363"/>
        <v>349.27864</v>
      </c>
      <c r="N767" s="224">
        <f t="shared" si="354"/>
        <v>349.27864</v>
      </c>
      <c r="O767" s="224">
        <f t="shared" si="355"/>
        <v>0</v>
      </c>
      <c r="P767" s="224">
        <f t="shared" si="356"/>
        <v>0</v>
      </c>
      <c r="Q767" s="208"/>
    </row>
    <row r="768" spans="1:18" hidden="1" outlineLevel="1">
      <c r="A768" s="271" t="s">
        <v>820</v>
      </c>
      <c r="B768" s="1346" t="s">
        <v>599</v>
      </c>
      <c r="C768" s="1332">
        <v>4650</v>
      </c>
      <c r="D768" s="1313" t="s">
        <v>427</v>
      </c>
      <c r="E768" s="1347" t="s">
        <v>349</v>
      </c>
      <c r="F768" s="1313" t="s">
        <v>429</v>
      </c>
      <c r="G768" s="1349">
        <v>9.3490000000000004E-2</v>
      </c>
      <c r="H768" s="222">
        <f t="shared" si="352"/>
        <v>2757</v>
      </c>
      <c r="I768" s="1354">
        <v>2757</v>
      </c>
      <c r="J768" s="1354"/>
      <c r="K768" s="1354"/>
      <c r="L768" s="1347" t="s">
        <v>349</v>
      </c>
      <c r="M768" s="223">
        <f t="shared" si="363"/>
        <v>257.75193000000002</v>
      </c>
      <c r="N768" s="224">
        <f t="shared" si="354"/>
        <v>257.75193000000002</v>
      </c>
      <c r="O768" s="224">
        <f t="shared" si="355"/>
        <v>0</v>
      </c>
      <c r="P768" s="224">
        <f t="shared" si="356"/>
        <v>0</v>
      </c>
      <c r="Q768" s="208"/>
    </row>
    <row r="769" spans="1:17" hidden="1" outlineLevel="1">
      <c r="A769" s="271" t="s">
        <v>820</v>
      </c>
      <c r="B769" s="1346" t="s">
        <v>1303</v>
      </c>
      <c r="C769" s="1332">
        <v>14114</v>
      </c>
      <c r="D769" s="1313" t="s">
        <v>427</v>
      </c>
      <c r="E769" s="1347" t="s">
        <v>349</v>
      </c>
      <c r="F769" s="1313" t="s">
        <v>430</v>
      </c>
      <c r="G769" s="1349">
        <v>9.9339999999999998E-2</v>
      </c>
      <c r="H769" s="222">
        <f t="shared" si="352"/>
        <v>17785</v>
      </c>
      <c r="I769" s="1354">
        <v>17785</v>
      </c>
      <c r="J769" s="1354"/>
      <c r="K769" s="1354"/>
      <c r="L769" s="1347" t="s">
        <v>349</v>
      </c>
      <c r="M769" s="223">
        <f t="shared" si="363"/>
        <v>1766.7619</v>
      </c>
      <c r="N769" s="224">
        <f t="shared" si="354"/>
        <v>1766.7619</v>
      </c>
      <c r="O769" s="224">
        <f t="shared" si="355"/>
        <v>0</v>
      </c>
      <c r="P769" s="224">
        <f t="shared" si="356"/>
        <v>0</v>
      </c>
      <c r="Q769" s="208"/>
    </row>
    <row r="770" spans="1:17" hidden="1" outlineLevel="1">
      <c r="A770" s="271" t="s">
        <v>820</v>
      </c>
      <c r="B770" s="1346" t="s">
        <v>1303</v>
      </c>
      <c r="C770" s="1332">
        <v>14114</v>
      </c>
      <c r="D770" s="1313" t="s">
        <v>427</v>
      </c>
      <c r="E770" s="1347" t="s">
        <v>349</v>
      </c>
      <c r="F770" s="1313" t="s">
        <v>430</v>
      </c>
      <c r="G770" s="1349">
        <v>0.18235000000000001</v>
      </c>
      <c r="H770" s="222">
        <f t="shared" si="352"/>
        <v>7359</v>
      </c>
      <c r="I770" s="1354">
        <v>7359</v>
      </c>
      <c r="J770" s="1354"/>
      <c r="K770" s="1354"/>
      <c r="L770" s="1347" t="s">
        <v>349</v>
      </c>
      <c r="M770" s="223">
        <f t="shared" si="363"/>
        <v>1341.9136500000002</v>
      </c>
      <c r="N770" s="224">
        <f t="shared" si="354"/>
        <v>1341.9136500000002</v>
      </c>
      <c r="O770" s="224">
        <f t="shared" si="355"/>
        <v>0</v>
      </c>
      <c r="P770" s="224">
        <f t="shared" si="356"/>
        <v>0</v>
      </c>
      <c r="Q770" s="208"/>
    </row>
    <row r="771" spans="1:17" hidden="1" outlineLevel="1">
      <c r="A771" s="271" t="s">
        <v>820</v>
      </c>
      <c r="B771" s="1346" t="s">
        <v>600</v>
      </c>
      <c r="C771" s="1332">
        <v>969</v>
      </c>
      <c r="D771" s="1313" t="s">
        <v>427</v>
      </c>
      <c r="E771" s="1347" t="s">
        <v>349</v>
      </c>
      <c r="F771" s="1313" t="s">
        <v>429</v>
      </c>
      <c r="G771" s="1349">
        <v>9.3490000000000004E-2</v>
      </c>
      <c r="H771" s="222">
        <f t="shared" si="352"/>
        <v>0</v>
      </c>
      <c r="I771" s="1354">
        <v>0</v>
      </c>
      <c r="J771" s="1354"/>
      <c r="K771" s="1354"/>
      <c r="L771" s="1347" t="s">
        <v>349</v>
      </c>
      <c r="M771" s="223">
        <f t="shared" si="363"/>
        <v>0</v>
      </c>
      <c r="N771" s="224">
        <f t="shared" si="354"/>
        <v>0</v>
      </c>
      <c r="O771" s="224">
        <f t="shared" si="355"/>
        <v>0</v>
      </c>
      <c r="P771" s="224">
        <f t="shared" si="356"/>
        <v>0</v>
      </c>
      <c r="Q771" s="208"/>
    </row>
    <row r="772" spans="1:17" hidden="1" outlineLevel="1">
      <c r="A772" s="271" t="s">
        <v>820</v>
      </c>
      <c r="B772" s="1346" t="s">
        <v>601</v>
      </c>
      <c r="C772" s="1332">
        <v>1003</v>
      </c>
      <c r="D772" s="1313" t="s">
        <v>427</v>
      </c>
      <c r="E772" s="1347" t="s">
        <v>349</v>
      </c>
      <c r="F772" s="1313" t="s">
        <v>430</v>
      </c>
      <c r="G772" s="1349">
        <v>9.9339999999999998E-2</v>
      </c>
      <c r="H772" s="222">
        <f t="shared" si="352"/>
        <v>4881</v>
      </c>
      <c r="I772" s="1354">
        <v>4881</v>
      </c>
      <c r="J772" s="1354"/>
      <c r="K772" s="1354"/>
      <c r="L772" s="1347" t="s">
        <v>349</v>
      </c>
      <c r="M772" s="223">
        <f t="shared" si="363"/>
        <v>484.87853999999999</v>
      </c>
      <c r="N772" s="224">
        <f t="shared" si="354"/>
        <v>484.87853999999999</v>
      </c>
      <c r="O772" s="224">
        <f t="shared" si="355"/>
        <v>0</v>
      </c>
      <c r="P772" s="224">
        <f t="shared" si="356"/>
        <v>0</v>
      </c>
      <c r="Q772" s="208"/>
    </row>
    <row r="773" spans="1:17" hidden="1" outlineLevel="1">
      <c r="A773" s="271" t="s">
        <v>820</v>
      </c>
      <c r="B773" s="1346" t="s">
        <v>416</v>
      </c>
      <c r="C773" s="1332">
        <v>881</v>
      </c>
      <c r="D773" s="1313" t="s">
        <v>427</v>
      </c>
      <c r="E773" s="1347" t="s">
        <v>349</v>
      </c>
      <c r="F773" s="1313" t="s">
        <v>429</v>
      </c>
      <c r="G773" s="1349">
        <v>9.3490000000000004E-2</v>
      </c>
      <c r="H773" s="222">
        <f t="shared" si="352"/>
        <v>570</v>
      </c>
      <c r="I773" s="1354">
        <v>570</v>
      </c>
      <c r="J773" s="1354"/>
      <c r="K773" s="1354"/>
      <c r="L773" s="1347" t="s">
        <v>349</v>
      </c>
      <c r="M773" s="223">
        <f t="shared" si="363"/>
        <v>53.289300000000004</v>
      </c>
      <c r="N773" s="224">
        <f t="shared" si="354"/>
        <v>53.289300000000004</v>
      </c>
      <c r="O773" s="224">
        <f t="shared" si="355"/>
        <v>0</v>
      </c>
      <c r="P773" s="224">
        <f t="shared" si="356"/>
        <v>0</v>
      </c>
      <c r="Q773" s="208"/>
    </row>
    <row r="774" spans="1:17" hidden="1" outlineLevel="1">
      <c r="A774" s="271" t="s">
        <v>820</v>
      </c>
      <c r="B774" s="1346" t="s">
        <v>417</v>
      </c>
      <c r="C774" s="1332">
        <v>832</v>
      </c>
      <c r="D774" s="1313" t="s">
        <v>427</v>
      </c>
      <c r="E774" s="1347" t="s">
        <v>349</v>
      </c>
      <c r="F774" s="1313" t="s">
        <v>429</v>
      </c>
      <c r="G774" s="1349">
        <v>9.3490000000000004E-2</v>
      </c>
      <c r="H774" s="222">
        <f t="shared" si="352"/>
        <v>229</v>
      </c>
      <c r="I774" s="1354">
        <v>229</v>
      </c>
      <c r="J774" s="1354"/>
      <c r="K774" s="1354"/>
      <c r="L774" s="1347" t="s">
        <v>349</v>
      </c>
      <c r="M774" s="223">
        <f t="shared" si="363"/>
        <v>21.409210000000002</v>
      </c>
      <c r="N774" s="224">
        <f t="shared" si="354"/>
        <v>21.409210000000002</v>
      </c>
      <c r="O774" s="224">
        <f t="shared" si="355"/>
        <v>0</v>
      </c>
      <c r="P774" s="224">
        <f t="shared" si="356"/>
        <v>0</v>
      </c>
      <c r="Q774" s="208"/>
    </row>
    <row r="775" spans="1:17" hidden="1" outlineLevel="1">
      <c r="A775" s="271" t="s">
        <v>820</v>
      </c>
      <c r="B775" s="1346" t="s">
        <v>418</v>
      </c>
      <c r="C775" s="1332">
        <v>1138</v>
      </c>
      <c r="D775" s="1313" t="s">
        <v>427</v>
      </c>
      <c r="E775" s="1347" t="s">
        <v>349</v>
      </c>
      <c r="F775" s="1313" t="s">
        <v>430</v>
      </c>
      <c r="G775" s="1349">
        <v>9.9339999999999998E-2</v>
      </c>
      <c r="H775" s="222">
        <f t="shared" si="352"/>
        <v>4222</v>
      </c>
      <c r="I775" s="1354">
        <v>4222</v>
      </c>
      <c r="J775" s="1354"/>
      <c r="K775" s="1354"/>
      <c r="L775" s="1347" t="s">
        <v>349</v>
      </c>
      <c r="M775" s="223">
        <f t="shared" si="363"/>
        <v>419.41347999999999</v>
      </c>
      <c r="N775" s="224">
        <f t="shared" si="354"/>
        <v>419.41347999999999</v>
      </c>
      <c r="O775" s="224">
        <f t="shared" si="355"/>
        <v>0</v>
      </c>
      <c r="P775" s="224">
        <f t="shared" si="356"/>
        <v>0</v>
      </c>
      <c r="Q775" s="208"/>
    </row>
    <row r="776" spans="1:17" hidden="1" outlineLevel="1">
      <c r="A776" s="271" t="s">
        <v>820</v>
      </c>
      <c r="B776" s="1346" t="s">
        <v>419</v>
      </c>
      <c r="C776" s="1332">
        <v>1010</v>
      </c>
      <c r="D776" s="1313" t="s">
        <v>427</v>
      </c>
      <c r="E776" s="1347" t="s">
        <v>349</v>
      </c>
      <c r="F776" s="1313" t="s">
        <v>430</v>
      </c>
      <c r="G776" s="1349">
        <v>9.9339999999999998E-2</v>
      </c>
      <c r="H776" s="222">
        <f t="shared" si="352"/>
        <v>175</v>
      </c>
      <c r="I776" s="1354">
        <v>175</v>
      </c>
      <c r="J776" s="1354"/>
      <c r="K776" s="1354"/>
      <c r="L776" s="1347" t="s">
        <v>349</v>
      </c>
      <c r="M776" s="223">
        <f t="shared" si="363"/>
        <v>17.384499999999999</v>
      </c>
      <c r="N776" s="224">
        <f t="shared" si="354"/>
        <v>17.384499999999999</v>
      </c>
      <c r="O776" s="224">
        <f t="shared" si="355"/>
        <v>0</v>
      </c>
      <c r="P776" s="224">
        <f t="shared" si="356"/>
        <v>0</v>
      </c>
      <c r="Q776" s="208"/>
    </row>
    <row r="777" spans="1:17" hidden="1" outlineLevel="1">
      <c r="A777" s="271" t="s">
        <v>820</v>
      </c>
      <c r="B777" s="1346" t="s">
        <v>420</v>
      </c>
      <c r="C777" s="1332">
        <v>16476</v>
      </c>
      <c r="D777" s="1313" t="s">
        <v>427</v>
      </c>
      <c r="E777" s="1347" t="s">
        <v>349</v>
      </c>
      <c r="F777" s="1313" t="s">
        <v>430</v>
      </c>
      <c r="G777" s="1349">
        <v>9.9339999999999998E-2</v>
      </c>
      <c r="H777" s="222">
        <f t="shared" si="352"/>
        <v>819</v>
      </c>
      <c r="I777" s="1354">
        <v>819</v>
      </c>
      <c r="J777" s="1354"/>
      <c r="K777" s="1354"/>
      <c r="L777" s="1347" t="s">
        <v>349</v>
      </c>
      <c r="M777" s="223">
        <f t="shared" si="363"/>
        <v>81.359459999999999</v>
      </c>
      <c r="N777" s="224">
        <f t="shared" si="354"/>
        <v>81.359459999999999</v>
      </c>
      <c r="O777" s="224">
        <f t="shared" si="355"/>
        <v>0</v>
      </c>
      <c r="P777" s="224">
        <f t="shared" si="356"/>
        <v>0</v>
      </c>
      <c r="Q777" s="208"/>
    </row>
    <row r="778" spans="1:17" hidden="1" outlineLevel="1">
      <c r="A778" s="271" t="s">
        <v>820</v>
      </c>
      <c r="B778" s="1346" t="s">
        <v>602</v>
      </c>
      <c r="C778" s="1332">
        <v>965</v>
      </c>
      <c r="D778" s="1313" t="s">
        <v>427</v>
      </c>
      <c r="E778" s="1347" t="s">
        <v>349</v>
      </c>
      <c r="F778" s="1313" t="s">
        <v>429</v>
      </c>
      <c r="G778" s="1349">
        <v>9.3490000000000004E-2</v>
      </c>
      <c r="H778" s="222">
        <f t="shared" si="352"/>
        <v>502</v>
      </c>
      <c r="I778" s="1354">
        <v>502</v>
      </c>
      <c r="J778" s="1354"/>
      <c r="K778" s="1354"/>
      <c r="L778" s="1347" t="s">
        <v>349</v>
      </c>
      <c r="M778" s="223">
        <f t="shared" si="363"/>
        <v>46.931980000000003</v>
      </c>
      <c r="N778" s="224">
        <f t="shared" si="354"/>
        <v>46.931980000000003</v>
      </c>
      <c r="O778" s="224">
        <f t="shared" si="355"/>
        <v>0</v>
      </c>
      <c r="P778" s="224">
        <f t="shared" si="356"/>
        <v>0</v>
      </c>
      <c r="Q778" s="208"/>
    </row>
    <row r="779" spans="1:17" hidden="1" outlineLevel="1">
      <c r="A779" s="271" t="s">
        <v>820</v>
      </c>
      <c r="B779" s="1346" t="s">
        <v>603</v>
      </c>
      <c r="C779" s="1332">
        <v>968</v>
      </c>
      <c r="D779" s="1313" t="s">
        <v>427</v>
      </c>
      <c r="E779" s="1347" t="s">
        <v>349</v>
      </c>
      <c r="F779" s="1313" t="s">
        <v>429</v>
      </c>
      <c r="G779" s="1349">
        <v>9.3490000000000004E-2</v>
      </c>
      <c r="H779" s="222">
        <f t="shared" si="352"/>
        <v>1380</v>
      </c>
      <c r="I779" s="1354">
        <v>1380</v>
      </c>
      <c r="J779" s="1354"/>
      <c r="K779" s="1354"/>
      <c r="L779" s="1347" t="s">
        <v>349</v>
      </c>
      <c r="M779" s="223">
        <f t="shared" si="363"/>
        <v>129.0162</v>
      </c>
      <c r="N779" s="224">
        <f t="shared" si="354"/>
        <v>129.0162</v>
      </c>
      <c r="O779" s="224">
        <f t="shared" si="355"/>
        <v>0</v>
      </c>
      <c r="P779" s="224">
        <f t="shared" si="356"/>
        <v>0</v>
      </c>
      <c r="Q779" s="208"/>
    </row>
    <row r="780" spans="1:17" hidden="1" outlineLevel="1">
      <c r="A780" s="271" t="s">
        <v>820</v>
      </c>
      <c r="B780" s="1346" t="s">
        <v>421</v>
      </c>
      <c r="C780" s="1332">
        <v>964</v>
      </c>
      <c r="D780" s="1313" t="s">
        <v>427</v>
      </c>
      <c r="E780" s="1347" t="s">
        <v>349</v>
      </c>
      <c r="F780" s="1313" t="s">
        <v>429</v>
      </c>
      <c r="G780" s="1349">
        <v>9.3490000000000004E-2</v>
      </c>
      <c r="H780" s="222">
        <f t="shared" si="352"/>
        <v>86</v>
      </c>
      <c r="I780" s="1354">
        <v>86</v>
      </c>
      <c r="J780" s="1354"/>
      <c r="K780" s="1354"/>
      <c r="L780" s="1347" t="s">
        <v>349</v>
      </c>
      <c r="M780" s="223">
        <f t="shared" si="363"/>
        <v>8.040140000000001</v>
      </c>
      <c r="N780" s="224">
        <f t="shared" si="354"/>
        <v>8.040140000000001</v>
      </c>
      <c r="O780" s="224">
        <f t="shared" si="355"/>
        <v>0</v>
      </c>
      <c r="P780" s="224">
        <f t="shared" si="356"/>
        <v>0</v>
      </c>
      <c r="Q780" s="208"/>
    </row>
    <row r="781" spans="1:17" hidden="1" outlineLevel="1">
      <c r="A781" s="271" t="s">
        <v>820</v>
      </c>
      <c r="B781" s="1346" t="s">
        <v>422</v>
      </c>
      <c r="C781" s="1332">
        <v>16477</v>
      </c>
      <c r="D781" s="1313" t="s">
        <v>427</v>
      </c>
      <c r="E781" s="1347" t="s">
        <v>349</v>
      </c>
      <c r="F781" s="1313" t="s">
        <v>430</v>
      </c>
      <c r="G781" s="1349">
        <v>9.9339999999999998E-2</v>
      </c>
      <c r="H781" s="222">
        <f t="shared" si="352"/>
        <v>17</v>
      </c>
      <c r="I781" s="1354">
        <v>17</v>
      </c>
      <c r="J781" s="1354"/>
      <c r="K781" s="1354"/>
      <c r="L781" s="1347" t="s">
        <v>349</v>
      </c>
      <c r="M781" s="223">
        <f t="shared" si="363"/>
        <v>1.6887799999999999</v>
      </c>
      <c r="N781" s="224">
        <f t="shared" si="354"/>
        <v>1.6887799999999999</v>
      </c>
      <c r="O781" s="224">
        <f t="shared" si="355"/>
        <v>0</v>
      </c>
      <c r="P781" s="224">
        <f t="shared" si="356"/>
        <v>0</v>
      </c>
      <c r="Q781" s="208"/>
    </row>
    <row r="782" spans="1:17" hidden="1" outlineLevel="1">
      <c r="A782" s="271" t="s">
        <v>820</v>
      </c>
      <c r="B782" s="1346" t="s">
        <v>423</v>
      </c>
      <c r="C782" s="1332">
        <v>703</v>
      </c>
      <c r="D782" s="1313" t="s">
        <v>427</v>
      </c>
      <c r="E782" s="1347" t="s">
        <v>349</v>
      </c>
      <c r="F782" s="1313" t="s">
        <v>430</v>
      </c>
      <c r="G782" s="1349">
        <v>9.9339999999999998E-2</v>
      </c>
      <c r="H782" s="222">
        <f t="shared" si="352"/>
        <v>1509</v>
      </c>
      <c r="I782" s="1354">
        <v>1509</v>
      </c>
      <c r="J782" s="1354"/>
      <c r="K782" s="1354"/>
      <c r="L782" s="1347" t="s">
        <v>349</v>
      </c>
      <c r="M782" s="223">
        <f t="shared" si="363"/>
        <v>149.90405999999999</v>
      </c>
      <c r="N782" s="224">
        <f t="shared" si="354"/>
        <v>149.90405999999999</v>
      </c>
      <c r="O782" s="224">
        <f t="shared" si="355"/>
        <v>0</v>
      </c>
      <c r="P782" s="224">
        <f t="shared" si="356"/>
        <v>0</v>
      </c>
      <c r="Q782" s="208"/>
    </row>
    <row r="783" spans="1:17" hidden="1" outlineLevel="1">
      <c r="A783" s="271" t="s">
        <v>820</v>
      </c>
      <c r="B783" s="1346" t="s">
        <v>604</v>
      </c>
      <c r="C783" s="1332">
        <v>707</v>
      </c>
      <c r="D783" s="1313" t="s">
        <v>427</v>
      </c>
      <c r="E783" s="1347" t="s">
        <v>349</v>
      </c>
      <c r="F783" s="1313" t="s">
        <v>430</v>
      </c>
      <c r="G783" s="1349">
        <v>9.9339999999999998E-2</v>
      </c>
      <c r="H783" s="222">
        <f t="shared" si="352"/>
        <v>10708</v>
      </c>
      <c r="I783" s="1354">
        <v>10708</v>
      </c>
      <c r="J783" s="1354"/>
      <c r="K783" s="1354"/>
      <c r="L783" s="1347" t="s">
        <v>349</v>
      </c>
      <c r="M783" s="223">
        <f t="shared" ref="M783" si="364">SUM(N783:P783)</f>
        <v>1063.73272</v>
      </c>
      <c r="N783" s="224">
        <f t="shared" si="354"/>
        <v>1063.73272</v>
      </c>
      <c r="O783" s="224">
        <f t="shared" si="355"/>
        <v>0</v>
      </c>
      <c r="P783" s="224">
        <f t="shared" si="356"/>
        <v>0</v>
      </c>
      <c r="Q783" s="208"/>
    </row>
    <row r="784" spans="1:17" hidden="1" outlineLevel="1">
      <c r="A784" s="271" t="s">
        <v>820</v>
      </c>
      <c r="B784" s="1356" t="s">
        <v>466</v>
      </c>
      <c r="C784" s="1334">
        <v>15025</v>
      </c>
      <c r="D784" s="1317" t="s">
        <v>427</v>
      </c>
      <c r="E784" s="1357" t="s">
        <v>349</v>
      </c>
      <c r="F784" s="1317" t="s">
        <v>430</v>
      </c>
      <c r="G784" s="1348">
        <v>9.9339999999999998E-2</v>
      </c>
      <c r="H784" s="272">
        <f t="shared" si="352"/>
        <v>1996</v>
      </c>
      <c r="I784" s="1354">
        <v>1996</v>
      </c>
      <c r="J784" s="1354"/>
      <c r="K784" s="1354"/>
      <c r="L784" s="1347" t="s">
        <v>349</v>
      </c>
      <c r="M784" s="223">
        <f t="shared" ref="M784:M785" si="365">SUM(N784:P784)</f>
        <v>198.28263999999999</v>
      </c>
      <c r="N784" s="224">
        <f t="shared" ref="N784:N785" si="366">G784*I784</f>
        <v>198.28263999999999</v>
      </c>
      <c r="O784" s="224">
        <f t="shared" ref="O784:O785" si="367">G784*J784*5</f>
        <v>0</v>
      </c>
      <c r="P784" s="224">
        <f t="shared" ref="P784:P785" si="368">G784*K784*5</f>
        <v>0</v>
      </c>
      <c r="Q784" s="208"/>
    </row>
    <row r="785" spans="1:18" hidden="1" outlineLevel="1">
      <c r="A785" s="271" t="s">
        <v>820</v>
      </c>
      <c r="B785" s="1346" t="s">
        <v>659</v>
      </c>
      <c r="C785" s="1332">
        <v>51778</v>
      </c>
      <c r="D785" s="1313" t="s">
        <v>427</v>
      </c>
      <c r="E785" s="1347" t="s">
        <v>349</v>
      </c>
      <c r="F785" s="1313" t="s">
        <v>430</v>
      </c>
      <c r="G785" s="1349">
        <v>9.9339999999999998E-2</v>
      </c>
      <c r="H785" s="272">
        <f t="shared" si="352"/>
        <v>162</v>
      </c>
      <c r="I785" s="1354">
        <v>162</v>
      </c>
      <c r="J785" s="1354"/>
      <c r="K785" s="1354"/>
      <c r="L785" s="1347" t="s">
        <v>349</v>
      </c>
      <c r="M785" s="223">
        <f t="shared" si="365"/>
        <v>16.09308</v>
      </c>
      <c r="N785" s="224">
        <f t="shared" si="366"/>
        <v>16.09308</v>
      </c>
      <c r="O785" s="224">
        <f t="shared" si="367"/>
        <v>0</v>
      </c>
      <c r="P785" s="224">
        <f t="shared" si="368"/>
        <v>0</v>
      </c>
      <c r="Q785" s="208"/>
    </row>
    <row r="786" spans="1:18" hidden="1" outlineLevel="1">
      <c r="A786" s="225" t="s">
        <v>820</v>
      </c>
      <c r="B786" s="1350" t="s">
        <v>461</v>
      </c>
      <c r="C786" s="1336">
        <v>60447</v>
      </c>
      <c r="D786" s="1321" t="s">
        <v>427</v>
      </c>
      <c r="E786" s="1351" t="s">
        <v>349</v>
      </c>
      <c r="F786" s="1321" t="s">
        <v>430</v>
      </c>
      <c r="G786" s="1352">
        <v>9.9339999999999998E-2</v>
      </c>
      <c r="H786" s="226">
        <f t="shared" ref="H786:H789" si="369">SUM(I786:K786)</f>
        <v>18465</v>
      </c>
      <c r="I786" s="1355">
        <v>18465</v>
      </c>
      <c r="J786" s="1355"/>
      <c r="K786" s="1355"/>
      <c r="L786" s="1351" t="s">
        <v>349</v>
      </c>
      <c r="M786" s="227">
        <f t="shared" ref="M786:M818" si="370">SUM(N786:P786)</f>
        <v>1834.3130999999998</v>
      </c>
      <c r="N786" s="228">
        <f t="shared" si="354"/>
        <v>1834.3130999999998</v>
      </c>
      <c r="O786" s="228">
        <f t="shared" si="355"/>
        <v>0</v>
      </c>
      <c r="P786" s="228">
        <f t="shared" si="356"/>
        <v>0</v>
      </c>
      <c r="Q786" s="229"/>
      <c r="R786" s="512">
        <f>SUM(M755:M786)</f>
        <v>11032.66516</v>
      </c>
    </row>
    <row r="787" spans="1:18" hidden="1" outlineLevel="1">
      <c r="A787" s="271" t="s">
        <v>820</v>
      </c>
      <c r="B787" s="1343" t="s">
        <v>408</v>
      </c>
      <c r="C787" s="1330">
        <v>841</v>
      </c>
      <c r="D787" s="1309" t="s">
        <v>431</v>
      </c>
      <c r="E787" s="1344" t="s">
        <v>349</v>
      </c>
      <c r="F787" s="1309" t="s">
        <v>429</v>
      </c>
      <c r="G787" s="1345">
        <v>9.3490000000000004E-2</v>
      </c>
      <c r="H787" s="222">
        <f t="shared" si="369"/>
        <v>710</v>
      </c>
      <c r="I787" s="1354">
        <v>705</v>
      </c>
      <c r="J787" s="1354">
        <v>5</v>
      </c>
      <c r="K787" s="1354"/>
      <c r="L787" s="1347" t="s">
        <v>349</v>
      </c>
      <c r="M787" s="223">
        <f t="shared" si="370"/>
        <v>68.247699999999995</v>
      </c>
      <c r="N787" s="224">
        <f t="shared" si="354"/>
        <v>65.910449999999997</v>
      </c>
      <c r="O787" s="224">
        <f t="shared" si="355"/>
        <v>2.33725</v>
      </c>
      <c r="P787" s="224">
        <f t="shared" si="356"/>
        <v>0</v>
      </c>
      <c r="Q787" s="205"/>
    </row>
    <row r="788" spans="1:18" hidden="1" outlineLevel="1">
      <c r="A788" s="271" t="s">
        <v>820</v>
      </c>
      <c r="B788" s="1346" t="s">
        <v>409</v>
      </c>
      <c r="C788" s="1332">
        <v>21717</v>
      </c>
      <c r="D788" s="1313" t="s">
        <v>431</v>
      </c>
      <c r="E788" s="1347" t="s">
        <v>349</v>
      </c>
      <c r="F788" s="1313" t="s">
        <v>429</v>
      </c>
      <c r="G788" s="1349">
        <v>9.3490000000000004E-2</v>
      </c>
      <c r="H788" s="222">
        <f t="shared" si="369"/>
        <v>1425</v>
      </c>
      <c r="I788" s="1354">
        <v>1425</v>
      </c>
      <c r="J788" s="1354"/>
      <c r="K788" s="1354"/>
      <c r="L788" s="1347" t="s">
        <v>349</v>
      </c>
      <c r="M788" s="223">
        <f t="shared" si="370"/>
        <v>133.22325000000001</v>
      </c>
      <c r="N788" s="224">
        <f t="shared" si="354"/>
        <v>133.22325000000001</v>
      </c>
      <c r="O788" s="224">
        <f t="shared" si="355"/>
        <v>0</v>
      </c>
      <c r="P788" s="224">
        <f t="shared" si="356"/>
        <v>0</v>
      </c>
      <c r="Q788" s="205"/>
    </row>
    <row r="789" spans="1:18" hidden="1" outlineLevel="1">
      <c r="A789" s="271" t="s">
        <v>820</v>
      </c>
      <c r="B789" s="1346" t="s">
        <v>410</v>
      </c>
      <c r="C789" s="1332">
        <v>749</v>
      </c>
      <c r="D789" s="1313" t="s">
        <v>431</v>
      </c>
      <c r="E789" s="1347" t="s">
        <v>349</v>
      </c>
      <c r="F789" s="1313" t="s">
        <v>430</v>
      </c>
      <c r="G789" s="1349">
        <v>9.9339999999999998E-2</v>
      </c>
      <c r="H789" s="222">
        <f t="shared" si="369"/>
        <v>8802</v>
      </c>
      <c r="I789" s="1354">
        <v>8802</v>
      </c>
      <c r="J789" s="1354"/>
      <c r="K789" s="1354"/>
      <c r="L789" s="1347" t="s">
        <v>349</v>
      </c>
      <c r="M789" s="223">
        <f t="shared" si="370"/>
        <v>874.39067999999997</v>
      </c>
      <c r="N789" s="224">
        <f t="shared" si="354"/>
        <v>874.39067999999997</v>
      </c>
      <c r="O789" s="224">
        <f t="shared" si="355"/>
        <v>0</v>
      </c>
      <c r="P789" s="224">
        <f t="shared" si="356"/>
        <v>0</v>
      </c>
      <c r="Q789" s="205"/>
    </row>
    <row r="790" spans="1:18" hidden="1" outlineLevel="1">
      <c r="A790" s="271" t="s">
        <v>820</v>
      </c>
      <c r="B790" s="1346" t="s">
        <v>411</v>
      </c>
      <c r="C790" s="1332">
        <v>20044</v>
      </c>
      <c r="D790" s="1313" t="s">
        <v>431</v>
      </c>
      <c r="E790" s="1347" t="s">
        <v>349</v>
      </c>
      <c r="F790" s="1313" t="s">
        <v>430</v>
      </c>
      <c r="G790" s="1349">
        <v>9.9339999999999998E-2</v>
      </c>
      <c r="H790" s="222">
        <f t="shared" ref="H790" si="371">SUM(I790:K790)</f>
        <v>2133</v>
      </c>
      <c r="I790" s="1354">
        <v>2133</v>
      </c>
      <c r="J790" s="1354"/>
      <c r="K790" s="1354"/>
      <c r="L790" s="1347" t="s">
        <v>349</v>
      </c>
      <c r="M790" s="223">
        <f t="shared" si="370"/>
        <v>211.89222000000001</v>
      </c>
      <c r="N790" s="224">
        <f t="shared" si="354"/>
        <v>211.89222000000001</v>
      </c>
      <c r="O790" s="224">
        <f t="shared" si="355"/>
        <v>0</v>
      </c>
      <c r="P790" s="224">
        <f t="shared" si="356"/>
        <v>0</v>
      </c>
      <c r="Q790" s="205"/>
    </row>
    <row r="791" spans="1:18" hidden="1" outlineLevel="1">
      <c r="A791" s="271" t="s">
        <v>820</v>
      </c>
      <c r="B791" s="1346" t="s">
        <v>412</v>
      </c>
      <c r="C791" s="1332">
        <v>15141</v>
      </c>
      <c r="D791" s="1313" t="s">
        <v>431</v>
      </c>
      <c r="E791" s="1347" t="s">
        <v>349</v>
      </c>
      <c r="F791" s="1313" t="s">
        <v>429</v>
      </c>
      <c r="G791" s="1349">
        <v>9.3490000000000004E-2</v>
      </c>
      <c r="H791" s="222">
        <f t="shared" ref="H791" si="372">SUM(I791:K791)</f>
        <v>801</v>
      </c>
      <c r="I791" s="1354">
        <v>801</v>
      </c>
      <c r="J791" s="1354"/>
      <c r="K791" s="1354"/>
      <c r="L791" s="1347" t="s">
        <v>349</v>
      </c>
      <c r="M791" s="223">
        <f t="shared" si="370"/>
        <v>74.885490000000004</v>
      </c>
      <c r="N791" s="224">
        <f t="shared" si="354"/>
        <v>74.885490000000004</v>
      </c>
      <c r="O791" s="224">
        <f t="shared" si="355"/>
        <v>0</v>
      </c>
      <c r="P791" s="224">
        <f t="shared" si="356"/>
        <v>0</v>
      </c>
      <c r="Q791" s="205"/>
    </row>
    <row r="792" spans="1:18" hidden="1" outlineLevel="1">
      <c r="A792" s="271" t="s">
        <v>820</v>
      </c>
      <c r="B792" s="1346" t="s">
        <v>413</v>
      </c>
      <c r="C792" s="1332">
        <v>16904</v>
      </c>
      <c r="D792" s="1313" t="s">
        <v>431</v>
      </c>
      <c r="E792" s="1347" t="s">
        <v>349</v>
      </c>
      <c r="F792" s="1313" t="s">
        <v>430</v>
      </c>
      <c r="G792" s="1349">
        <v>9.9339999999999998E-2</v>
      </c>
      <c r="H792" s="222">
        <f t="shared" ref="H792:H805" si="373">SUM(I792:K792)</f>
        <v>2170</v>
      </c>
      <c r="I792" s="1354">
        <v>2170</v>
      </c>
      <c r="J792" s="1354"/>
      <c r="K792" s="1354"/>
      <c r="L792" s="1347" t="s">
        <v>349</v>
      </c>
      <c r="M792" s="223">
        <f t="shared" si="370"/>
        <v>215.56780000000001</v>
      </c>
      <c r="N792" s="224">
        <f t="shared" si="354"/>
        <v>215.56780000000001</v>
      </c>
      <c r="O792" s="224">
        <f t="shared" si="355"/>
        <v>0</v>
      </c>
      <c r="P792" s="224">
        <f t="shared" si="356"/>
        <v>0</v>
      </c>
      <c r="Q792" s="205"/>
    </row>
    <row r="793" spans="1:18" hidden="1" outlineLevel="1">
      <c r="A793" s="271" t="s">
        <v>820</v>
      </c>
      <c r="B793" s="1346" t="s">
        <v>595</v>
      </c>
      <c r="C793" s="1332">
        <v>891</v>
      </c>
      <c r="D793" s="1313" t="s">
        <v>431</v>
      </c>
      <c r="E793" s="1347" t="s">
        <v>349</v>
      </c>
      <c r="F793" s="1313" t="s">
        <v>429</v>
      </c>
      <c r="G793" s="1349">
        <v>9.3490000000000004E-2</v>
      </c>
      <c r="H793" s="222">
        <f t="shared" si="373"/>
        <v>2038</v>
      </c>
      <c r="I793" s="1354">
        <v>2038</v>
      </c>
      <c r="J793" s="1354"/>
      <c r="K793" s="1354"/>
      <c r="L793" s="1347" t="s">
        <v>349</v>
      </c>
      <c r="M793" s="223">
        <f t="shared" si="370"/>
        <v>190.53262000000001</v>
      </c>
      <c r="N793" s="224">
        <f t="shared" si="354"/>
        <v>190.53262000000001</v>
      </c>
      <c r="O793" s="224">
        <f t="shared" ref="O793:O797" si="374">G793*J793*5</f>
        <v>0</v>
      </c>
      <c r="P793" s="224">
        <f t="shared" ref="P793:P797" si="375">G793*K793*5</f>
        <v>0</v>
      </c>
      <c r="Q793" s="205"/>
    </row>
    <row r="794" spans="1:18" hidden="1" outlineLevel="1">
      <c r="A794" s="271" t="s">
        <v>820</v>
      </c>
      <c r="B794" s="1346" t="s">
        <v>606</v>
      </c>
      <c r="C794" s="1332">
        <v>892</v>
      </c>
      <c r="D794" s="1313" t="s">
        <v>431</v>
      </c>
      <c r="E794" s="1347" t="s">
        <v>349</v>
      </c>
      <c r="F794" s="1313" t="s">
        <v>429</v>
      </c>
      <c r="G794" s="1349">
        <v>9.3490000000000004E-2</v>
      </c>
      <c r="H794" s="222">
        <f t="shared" si="373"/>
        <v>6501</v>
      </c>
      <c r="I794" s="1354">
        <v>6501</v>
      </c>
      <c r="J794" s="1354"/>
      <c r="K794" s="1354"/>
      <c r="L794" s="1347" t="s">
        <v>349</v>
      </c>
      <c r="M794" s="223">
        <f t="shared" si="370"/>
        <v>607.77849000000003</v>
      </c>
      <c r="N794" s="224">
        <f t="shared" si="354"/>
        <v>607.77849000000003</v>
      </c>
      <c r="O794" s="224">
        <f t="shared" si="374"/>
        <v>0</v>
      </c>
      <c r="P794" s="224">
        <f t="shared" si="375"/>
        <v>0</v>
      </c>
      <c r="Q794" s="205"/>
    </row>
    <row r="795" spans="1:18" hidden="1" outlineLevel="1">
      <c r="A795" s="271" t="s">
        <v>820</v>
      </c>
      <c r="B795" s="1346" t="s">
        <v>1302</v>
      </c>
      <c r="C795" s="1332">
        <v>708</v>
      </c>
      <c r="D795" s="1313" t="s">
        <v>431</v>
      </c>
      <c r="E795" s="1347" t="s">
        <v>349</v>
      </c>
      <c r="F795" s="1313" t="s">
        <v>430</v>
      </c>
      <c r="G795" s="1349">
        <v>9.9339999999999998E-2</v>
      </c>
      <c r="H795" s="222">
        <f t="shared" si="373"/>
        <v>0</v>
      </c>
      <c r="I795" s="1354">
        <v>0</v>
      </c>
      <c r="J795" s="1354"/>
      <c r="K795" s="1354"/>
      <c r="L795" s="1347" t="s">
        <v>349</v>
      </c>
      <c r="M795" s="223">
        <f t="shared" si="370"/>
        <v>0</v>
      </c>
      <c r="N795" s="224">
        <f t="shared" si="354"/>
        <v>0</v>
      </c>
      <c r="O795" s="224">
        <f t="shared" si="374"/>
        <v>0</v>
      </c>
      <c r="P795" s="224">
        <f t="shared" si="375"/>
        <v>0</v>
      </c>
      <c r="Q795" s="205"/>
    </row>
    <row r="796" spans="1:18" hidden="1" outlineLevel="1">
      <c r="A796" s="271" t="s">
        <v>820</v>
      </c>
      <c r="B796" s="1346" t="s">
        <v>414</v>
      </c>
      <c r="C796" s="1332">
        <v>16757</v>
      </c>
      <c r="D796" s="1313" t="s">
        <v>431</v>
      </c>
      <c r="E796" s="1347" t="s">
        <v>349</v>
      </c>
      <c r="F796" s="1313" t="s">
        <v>429</v>
      </c>
      <c r="G796" s="1349">
        <v>9.3490000000000004E-2</v>
      </c>
      <c r="H796" s="222">
        <f t="shared" si="373"/>
        <v>1363</v>
      </c>
      <c r="I796" s="1354">
        <v>1363</v>
      </c>
      <c r="J796" s="1354"/>
      <c r="K796" s="1354"/>
      <c r="L796" s="1347" t="s">
        <v>349</v>
      </c>
      <c r="M796" s="223">
        <f t="shared" si="370"/>
        <v>127.42687000000001</v>
      </c>
      <c r="N796" s="224">
        <f t="shared" si="354"/>
        <v>127.42687000000001</v>
      </c>
      <c r="O796" s="224">
        <f t="shared" si="374"/>
        <v>0</v>
      </c>
      <c r="P796" s="224">
        <f t="shared" si="375"/>
        <v>0</v>
      </c>
      <c r="Q796" s="205"/>
    </row>
    <row r="797" spans="1:18" hidden="1" outlineLevel="1">
      <c r="A797" s="271" t="s">
        <v>820</v>
      </c>
      <c r="B797" s="1346" t="s">
        <v>596</v>
      </c>
      <c r="C797" s="1332">
        <v>878</v>
      </c>
      <c r="D797" s="1313" t="s">
        <v>431</v>
      </c>
      <c r="E797" s="1347" t="s">
        <v>349</v>
      </c>
      <c r="F797" s="1313" t="s">
        <v>429</v>
      </c>
      <c r="G797" s="1349">
        <v>9.3490000000000004E-2</v>
      </c>
      <c r="H797" s="222">
        <f t="shared" si="373"/>
        <v>2395</v>
      </c>
      <c r="I797" s="1354">
        <v>2395</v>
      </c>
      <c r="J797" s="1354"/>
      <c r="K797" s="1354"/>
      <c r="L797" s="1347" t="s">
        <v>349</v>
      </c>
      <c r="M797" s="223">
        <f t="shared" si="370"/>
        <v>223.90855000000002</v>
      </c>
      <c r="N797" s="224">
        <f t="shared" si="354"/>
        <v>223.90855000000002</v>
      </c>
      <c r="O797" s="224">
        <f t="shared" si="374"/>
        <v>0</v>
      </c>
      <c r="P797" s="224">
        <f t="shared" si="375"/>
        <v>0</v>
      </c>
      <c r="Q797" s="205"/>
    </row>
    <row r="798" spans="1:18" hidden="1" outlineLevel="1">
      <c r="A798" s="271" t="s">
        <v>820</v>
      </c>
      <c r="B798" s="1346" t="s">
        <v>597</v>
      </c>
      <c r="C798" s="1332">
        <v>879</v>
      </c>
      <c r="D798" s="1313" t="s">
        <v>431</v>
      </c>
      <c r="E798" s="1347" t="s">
        <v>349</v>
      </c>
      <c r="F798" s="1313" t="s">
        <v>429</v>
      </c>
      <c r="G798" s="1349">
        <v>9.3490000000000004E-2</v>
      </c>
      <c r="H798" s="222">
        <f t="shared" si="373"/>
        <v>6847</v>
      </c>
      <c r="I798" s="1354">
        <v>6847</v>
      </c>
      <c r="J798" s="1354"/>
      <c r="K798" s="1354"/>
      <c r="L798" s="1347" t="s">
        <v>349</v>
      </c>
      <c r="M798" s="223">
        <f t="shared" si="370"/>
        <v>640.12603000000001</v>
      </c>
      <c r="N798" s="224">
        <f t="shared" si="354"/>
        <v>640.12603000000001</v>
      </c>
      <c r="O798" s="224">
        <f t="shared" si="355"/>
        <v>0</v>
      </c>
      <c r="P798" s="224">
        <f t="shared" si="356"/>
        <v>0</v>
      </c>
      <c r="Q798" s="205"/>
    </row>
    <row r="799" spans="1:18" hidden="1" outlineLevel="1">
      <c r="A799" s="271" t="s">
        <v>820</v>
      </c>
      <c r="B799" s="1346" t="s">
        <v>598</v>
      </c>
      <c r="C799" s="1332">
        <v>880</v>
      </c>
      <c r="D799" s="1313" t="s">
        <v>431</v>
      </c>
      <c r="E799" s="1347" t="s">
        <v>349</v>
      </c>
      <c r="F799" s="1313" t="s">
        <v>429</v>
      </c>
      <c r="G799" s="1349">
        <v>9.3490000000000004E-2</v>
      </c>
      <c r="H799" s="222">
        <f t="shared" si="373"/>
        <v>5979</v>
      </c>
      <c r="I799" s="1354">
        <v>5979</v>
      </c>
      <c r="J799" s="1354"/>
      <c r="K799" s="1354"/>
      <c r="L799" s="1347" t="s">
        <v>349</v>
      </c>
      <c r="M799" s="223">
        <f t="shared" si="370"/>
        <v>558.97671000000003</v>
      </c>
      <c r="N799" s="224">
        <f t="shared" si="354"/>
        <v>558.97671000000003</v>
      </c>
      <c r="O799" s="224">
        <f t="shared" si="355"/>
        <v>0</v>
      </c>
      <c r="P799" s="224">
        <f t="shared" si="356"/>
        <v>0</v>
      </c>
      <c r="Q799" s="205"/>
    </row>
    <row r="800" spans="1:18" hidden="1" outlineLevel="1">
      <c r="A800" s="271" t="s">
        <v>820</v>
      </c>
      <c r="B800" s="1346" t="s">
        <v>599</v>
      </c>
      <c r="C800" s="1332">
        <v>4650</v>
      </c>
      <c r="D800" s="1313" t="s">
        <v>431</v>
      </c>
      <c r="E800" s="1347" t="s">
        <v>349</v>
      </c>
      <c r="F800" s="1313" t="s">
        <v>429</v>
      </c>
      <c r="G800" s="1349">
        <v>9.3490000000000004E-2</v>
      </c>
      <c r="H800" s="222">
        <f t="shared" si="373"/>
        <v>3005</v>
      </c>
      <c r="I800" s="1354">
        <v>3005</v>
      </c>
      <c r="J800" s="1354"/>
      <c r="K800" s="1354"/>
      <c r="L800" s="1347" t="s">
        <v>349</v>
      </c>
      <c r="M800" s="223">
        <f t="shared" si="370"/>
        <v>280.93745000000001</v>
      </c>
      <c r="N800" s="224">
        <f t="shared" si="354"/>
        <v>280.93745000000001</v>
      </c>
      <c r="O800" s="224">
        <f t="shared" si="355"/>
        <v>0</v>
      </c>
      <c r="P800" s="224">
        <f t="shared" si="356"/>
        <v>0</v>
      </c>
      <c r="Q800" s="205"/>
    </row>
    <row r="801" spans="1:17" hidden="1" outlineLevel="1">
      <c r="A801" s="271" t="s">
        <v>820</v>
      </c>
      <c r="B801" s="1346" t="s">
        <v>1303</v>
      </c>
      <c r="C801" s="1332">
        <v>14114</v>
      </c>
      <c r="D801" s="1313" t="s">
        <v>431</v>
      </c>
      <c r="E801" s="1347" t="s">
        <v>349</v>
      </c>
      <c r="F801" s="1313" t="s">
        <v>430</v>
      </c>
      <c r="G801" s="1349">
        <v>9.9339999999999998E-2</v>
      </c>
      <c r="H801" s="222">
        <f t="shared" si="373"/>
        <v>19251</v>
      </c>
      <c r="I801" s="1354">
        <v>19251</v>
      </c>
      <c r="J801" s="1354"/>
      <c r="K801" s="1354"/>
      <c r="L801" s="1347" t="s">
        <v>349</v>
      </c>
      <c r="M801" s="223">
        <f t="shared" si="370"/>
        <v>1912.3943400000001</v>
      </c>
      <c r="N801" s="224">
        <f t="shared" si="354"/>
        <v>1912.3943400000001</v>
      </c>
      <c r="O801" s="224">
        <f t="shared" si="355"/>
        <v>0</v>
      </c>
      <c r="P801" s="224">
        <f t="shared" si="356"/>
        <v>0</v>
      </c>
      <c r="Q801" s="205"/>
    </row>
    <row r="802" spans="1:17" hidden="1" outlineLevel="1">
      <c r="A802" s="271" t="s">
        <v>820</v>
      </c>
      <c r="B802" s="1346" t="s">
        <v>1303</v>
      </c>
      <c r="C802" s="1332">
        <v>14114</v>
      </c>
      <c r="D802" s="1313" t="s">
        <v>431</v>
      </c>
      <c r="E802" s="1347" t="s">
        <v>349</v>
      </c>
      <c r="F802" s="1313" t="s">
        <v>430</v>
      </c>
      <c r="G802" s="1349">
        <v>0.18235000000000001</v>
      </c>
      <c r="H802" s="222">
        <f t="shared" si="373"/>
        <v>7682</v>
      </c>
      <c r="I802" s="1354">
        <v>7682</v>
      </c>
      <c r="J802" s="1354"/>
      <c r="K802" s="1354"/>
      <c r="L802" s="1347" t="s">
        <v>349</v>
      </c>
      <c r="M802" s="223">
        <f t="shared" si="370"/>
        <v>1400.8127000000002</v>
      </c>
      <c r="N802" s="224">
        <f t="shared" si="354"/>
        <v>1400.8127000000002</v>
      </c>
      <c r="O802" s="224">
        <f t="shared" si="355"/>
        <v>0</v>
      </c>
      <c r="P802" s="224">
        <f t="shared" si="356"/>
        <v>0</v>
      </c>
      <c r="Q802" s="205"/>
    </row>
    <row r="803" spans="1:17" hidden="1" outlineLevel="1">
      <c r="A803" s="271" t="s">
        <v>820</v>
      </c>
      <c r="B803" s="1346" t="s">
        <v>600</v>
      </c>
      <c r="C803" s="1332">
        <v>969</v>
      </c>
      <c r="D803" s="1313" t="s">
        <v>431</v>
      </c>
      <c r="E803" s="1347" t="s">
        <v>349</v>
      </c>
      <c r="F803" s="1313" t="s">
        <v>429</v>
      </c>
      <c r="G803" s="1349">
        <v>9.3490000000000004E-2</v>
      </c>
      <c r="H803" s="222">
        <f t="shared" si="373"/>
        <v>481</v>
      </c>
      <c r="I803" s="1354">
        <v>481</v>
      </c>
      <c r="J803" s="1354"/>
      <c r="K803" s="1354"/>
      <c r="L803" s="1347" t="s">
        <v>349</v>
      </c>
      <c r="M803" s="223">
        <f t="shared" si="370"/>
        <v>44.968690000000002</v>
      </c>
      <c r="N803" s="224">
        <f t="shared" si="354"/>
        <v>44.968690000000002</v>
      </c>
      <c r="O803" s="224">
        <f t="shared" si="355"/>
        <v>0</v>
      </c>
      <c r="P803" s="224">
        <f t="shared" si="356"/>
        <v>0</v>
      </c>
      <c r="Q803" s="205"/>
    </row>
    <row r="804" spans="1:17" hidden="1" outlineLevel="1">
      <c r="A804" s="271" t="s">
        <v>820</v>
      </c>
      <c r="B804" s="1346" t="s">
        <v>601</v>
      </c>
      <c r="C804" s="1332">
        <v>1003</v>
      </c>
      <c r="D804" s="1313" t="s">
        <v>431</v>
      </c>
      <c r="E804" s="1347" t="s">
        <v>349</v>
      </c>
      <c r="F804" s="1313" t="s">
        <v>430</v>
      </c>
      <c r="G804" s="1349">
        <v>9.9339999999999998E-2</v>
      </c>
      <c r="H804" s="222">
        <f t="shared" si="373"/>
        <v>5127</v>
      </c>
      <c r="I804" s="1354">
        <v>5127</v>
      </c>
      <c r="J804" s="1354"/>
      <c r="K804" s="1354"/>
      <c r="L804" s="1347" t="s">
        <v>349</v>
      </c>
      <c r="M804" s="223">
        <f t="shared" si="370"/>
        <v>509.31617999999997</v>
      </c>
      <c r="N804" s="224">
        <f t="shared" si="354"/>
        <v>509.31617999999997</v>
      </c>
      <c r="O804" s="224">
        <f t="shared" si="355"/>
        <v>0</v>
      </c>
      <c r="P804" s="224">
        <f t="shared" si="356"/>
        <v>0</v>
      </c>
      <c r="Q804" s="205"/>
    </row>
    <row r="805" spans="1:17" hidden="1" outlineLevel="1">
      <c r="A805" s="271" t="s">
        <v>820</v>
      </c>
      <c r="B805" s="1346" t="s">
        <v>416</v>
      </c>
      <c r="C805" s="1332">
        <v>881</v>
      </c>
      <c r="D805" s="1313" t="s">
        <v>431</v>
      </c>
      <c r="E805" s="1347" t="s">
        <v>349</v>
      </c>
      <c r="F805" s="1313" t="s">
        <v>429</v>
      </c>
      <c r="G805" s="1349">
        <v>9.3490000000000004E-2</v>
      </c>
      <c r="H805" s="222">
        <f t="shared" si="373"/>
        <v>674</v>
      </c>
      <c r="I805" s="1354">
        <v>674</v>
      </c>
      <c r="J805" s="1354"/>
      <c r="K805" s="1354"/>
      <c r="L805" s="1347" t="s">
        <v>349</v>
      </c>
      <c r="M805" s="223">
        <f t="shared" si="370"/>
        <v>63.012260000000005</v>
      </c>
      <c r="N805" s="224">
        <f t="shared" si="354"/>
        <v>63.012260000000005</v>
      </c>
      <c r="O805" s="224">
        <f t="shared" si="355"/>
        <v>0</v>
      </c>
      <c r="P805" s="224">
        <f t="shared" si="356"/>
        <v>0</v>
      </c>
      <c r="Q805" s="205"/>
    </row>
    <row r="806" spans="1:17" hidden="1" outlineLevel="1">
      <c r="A806" s="271" t="s">
        <v>820</v>
      </c>
      <c r="B806" s="1346" t="s">
        <v>417</v>
      </c>
      <c r="C806" s="1332">
        <v>832</v>
      </c>
      <c r="D806" s="1313" t="s">
        <v>431</v>
      </c>
      <c r="E806" s="1347" t="s">
        <v>349</v>
      </c>
      <c r="F806" s="1313" t="s">
        <v>429</v>
      </c>
      <c r="G806" s="1349">
        <v>9.3490000000000004E-2</v>
      </c>
      <c r="H806" s="222">
        <f t="shared" ref="H806:H827" si="376">SUM(I806:K806)</f>
        <v>364</v>
      </c>
      <c r="I806" s="1354">
        <v>364</v>
      </c>
      <c r="J806" s="1354"/>
      <c r="K806" s="1354"/>
      <c r="L806" s="1347" t="s">
        <v>349</v>
      </c>
      <c r="M806" s="223">
        <f t="shared" si="370"/>
        <v>34.030360000000002</v>
      </c>
      <c r="N806" s="224">
        <f t="shared" si="354"/>
        <v>34.030360000000002</v>
      </c>
      <c r="O806" s="224">
        <f t="shared" si="355"/>
        <v>0</v>
      </c>
      <c r="P806" s="224">
        <f t="shared" si="356"/>
        <v>0</v>
      </c>
      <c r="Q806" s="205"/>
    </row>
    <row r="807" spans="1:17" hidden="1" outlineLevel="1">
      <c r="A807" s="271" t="s">
        <v>820</v>
      </c>
      <c r="B807" s="1346" t="s">
        <v>418</v>
      </c>
      <c r="C807" s="1332">
        <v>1138</v>
      </c>
      <c r="D807" s="1313" t="s">
        <v>431</v>
      </c>
      <c r="E807" s="1347" t="s">
        <v>349</v>
      </c>
      <c r="F807" s="1313" t="s">
        <v>430</v>
      </c>
      <c r="G807" s="1349">
        <v>9.9339999999999998E-2</v>
      </c>
      <c r="H807" s="222">
        <f t="shared" si="376"/>
        <v>9764</v>
      </c>
      <c r="I807" s="1354">
        <v>9764</v>
      </c>
      <c r="J807" s="1354"/>
      <c r="K807" s="1354"/>
      <c r="L807" s="1347" t="s">
        <v>349</v>
      </c>
      <c r="M807" s="223">
        <f t="shared" si="370"/>
        <v>969.95575999999994</v>
      </c>
      <c r="N807" s="224">
        <f t="shared" si="354"/>
        <v>969.95575999999994</v>
      </c>
      <c r="O807" s="224">
        <f t="shared" si="355"/>
        <v>0</v>
      </c>
      <c r="P807" s="224">
        <f t="shared" si="356"/>
        <v>0</v>
      </c>
      <c r="Q807" s="205"/>
    </row>
    <row r="808" spans="1:17" hidden="1" outlineLevel="1">
      <c r="A808" s="271" t="s">
        <v>820</v>
      </c>
      <c r="B808" s="1346" t="s">
        <v>419</v>
      </c>
      <c r="C808" s="1332">
        <v>1010</v>
      </c>
      <c r="D808" s="1313" t="s">
        <v>431</v>
      </c>
      <c r="E808" s="1347" t="s">
        <v>349</v>
      </c>
      <c r="F808" s="1313" t="s">
        <v>430</v>
      </c>
      <c r="G808" s="1349">
        <v>9.9339999999999998E-2</v>
      </c>
      <c r="H808" s="222">
        <f t="shared" si="376"/>
        <v>219</v>
      </c>
      <c r="I808" s="1354">
        <v>219</v>
      </c>
      <c r="J808" s="1354"/>
      <c r="K808" s="1354"/>
      <c r="L808" s="1347" t="s">
        <v>349</v>
      </c>
      <c r="M808" s="223">
        <f t="shared" si="370"/>
        <v>21.755459999999999</v>
      </c>
      <c r="N808" s="224">
        <f t="shared" si="354"/>
        <v>21.755459999999999</v>
      </c>
      <c r="O808" s="224">
        <f t="shared" si="355"/>
        <v>0</v>
      </c>
      <c r="P808" s="224">
        <f t="shared" si="356"/>
        <v>0</v>
      </c>
      <c r="Q808" s="205"/>
    </row>
    <row r="809" spans="1:17" hidden="1" outlineLevel="1">
      <c r="A809" s="271" t="s">
        <v>820</v>
      </c>
      <c r="B809" s="1346" t="s">
        <v>420</v>
      </c>
      <c r="C809" s="1332">
        <v>16476</v>
      </c>
      <c r="D809" s="1313" t="s">
        <v>431</v>
      </c>
      <c r="E809" s="1347" t="s">
        <v>349</v>
      </c>
      <c r="F809" s="1313" t="s">
        <v>430</v>
      </c>
      <c r="G809" s="1349">
        <v>9.9339999999999998E-2</v>
      </c>
      <c r="H809" s="222">
        <f t="shared" si="376"/>
        <v>1031</v>
      </c>
      <c r="I809" s="1354">
        <v>1031</v>
      </c>
      <c r="J809" s="1354"/>
      <c r="K809" s="1354"/>
      <c r="L809" s="1347" t="s">
        <v>349</v>
      </c>
      <c r="M809" s="223">
        <f t="shared" si="370"/>
        <v>102.41954</v>
      </c>
      <c r="N809" s="224">
        <f t="shared" si="354"/>
        <v>102.41954</v>
      </c>
      <c r="O809" s="224">
        <f t="shared" si="355"/>
        <v>0</v>
      </c>
      <c r="P809" s="224">
        <f t="shared" si="356"/>
        <v>0</v>
      </c>
      <c r="Q809" s="205"/>
    </row>
    <row r="810" spans="1:17" hidden="1" outlineLevel="1">
      <c r="A810" s="271" t="s">
        <v>820</v>
      </c>
      <c r="B810" s="1346" t="s">
        <v>602</v>
      </c>
      <c r="C810" s="1332">
        <v>965</v>
      </c>
      <c r="D810" s="1313" t="s">
        <v>431</v>
      </c>
      <c r="E810" s="1347" t="s">
        <v>349</v>
      </c>
      <c r="F810" s="1313" t="s">
        <v>429</v>
      </c>
      <c r="G810" s="1349">
        <v>9.3490000000000004E-2</v>
      </c>
      <c r="H810" s="222">
        <f t="shared" si="376"/>
        <v>2255</v>
      </c>
      <c r="I810" s="1354">
        <v>2255</v>
      </c>
      <c r="J810" s="1354"/>
      <c r="K810" s="1354"/>
      <c r="L810" s="1347" t="s">
        <v>349</v>
      </c>
      <c r="M810" s="223">
        <f t="shared" si="370"/>
        <v>210.81995000000001</v>
      </c>
      <c r="N810" s="224">
        <f t="shared" si="354"/>
        <v>210.81995000000001</v>
      </c>
      <c r="O810" s="224">
        <f t="shared" si="355"/>
        <v>0</v>
      </c>
      <c r="P810" s="224">
        <f t="shared" si="356"/>
        <v>0</v>
      </c>
      <c r="Q810" s="205"/>
    </row>
    <row r="811" spans="1:17" hidden="1" outlineLevel="1">
      <c r="A811" s="271" t="s">
        <v>820</v>
      </c>
      <c r="B811" s="1346" t="s">
        <v>603</v>
      </c>
      <c r="C811" s="1332">
        <v>968</v>
      </c>
      <c r="D811" s="1313" t="s">
        <v>431</v>
      </c>
      <c r="E811" s="1347" t="s">
        <v>349</v>
      </c>
      <c r="F811" s="1313" t="s">
        <v>429</v>
      </c>
      <c r="G811" s="1349">
        <v>9.3490000000000004E-2</v>
      </c>
      <c r="H811" s="222">
        <f t="shared" si="376"/>
        <v>645</v>
      </c>
      <c r="I811" s="1354">
        <v>645</v>
      </c>
      <c r="J811" s="1354"/>
      <c r="K811" s="1354"/>
      <c r="L811" s="1347" t="s">
        <v>349</v>
      </c>
      <c r="M811" s="223">
        <f t="shared" si="370"/>
        <v>60.301050000000004</v>
      </c>
      <c r="N811" s="224">
        <f t="shared" si="354"/>
        <v>60.301050000000004</v>
      </c>
      <c r="O811" s="224">
        <f t="shared" si="355"/>
        <v>0</v>
      </c>
      <c r="P811" s="224">
        <f t="shared" si="356"/>
        <v>0</v>
      </c>
      <c r="Q811" s="205"/>
    </row>
    <row r="812" spans="1:17" hidden="1" outlineLevel="1">
      <c r="A812" s="271" t="s">
        <v>820</v>
      </c>
      <c r="B812" s="1346" t="s">
        <v>421</v>
      </c>
      <c r="C812" s="1332">
        <v>964</v>
      </c>
      <c r="D812" s="1313" t="s">
        <v>431</v>
      </c>
      <c r="E812" s="1347" t="s">
        <v>349</v>
      </c>
      <c r="F812" s="1313" t="s">
        <v>429</v>
      </c>
      <c r="G812" s="1349">
        <v>9.3490000000000004E-2</v>
      </c>
      <c r="H812" s="222">
        <f t="shared" si="376"/>
        <v>120</v>
      </c>
      <c r="I812" s="1354">
        <v>120</v>
      </c>
      <c r="J812" s="1354"/>
      <c r="K812" s="1354"/>
      <c r="L812" s="1347" t="s">
        <v>349</v>
      </c>
      <c r="M812" s="223">
        <f t="shared" si="370"/>
        <v>11.2188</v>
      </c>
      <c r="N812" s="224">
        <f t="shared" si="354"/>
        <v>11.2188</v>
      </c>
      <c r="O812" s="224">
        <f t="shared" si="355"/>
        <v>0</v>
      </c>
      <c r="P812" s="224">
        <f t="shared" si="356"/>
        <v>0</v>
      </c>
      <c r="Q812" s="205"/>
    </row>
    <row r="813" spans="1:17" hidden="1" outlineLevel="1">
      <c r="A813" s="271" t="s">
        <v>820</v>
      </c>
      <c r="B813" s="1346" t="s">
        <v>422</v>
      </c>
      <c r="C813" s="1332">
        <v>16477</v>
      </c>
      <c r="D813" s="1313" t="s">
        <v>431</v>
      </c>
      <c r="E813" s="1347" t="s">
        <v>349</v>
      </c>
      <c r="F813" s="1313" t="s">
        <v>430</v>
      </c>
      <c r="G813" s="1349">
        <v>9.9339999999999998E-2</v>
      </c>
      <c r="H813" s="222">
        <f t="shared" si="376"/>
        <v>16</v>
      </c>
      <c r="I813" s="1354">
        <v>16</v>
      </c>
      <c r="J813" s="1354"/>
      <c r="K813" s="1354"/>
      <c r="L813" s="1347" t="s">
        <v>349</v>
      </c>
      <c r="M813" s="223">
        <f t="shared" si="370"/>
        <v>1.58944</v>
      </c>
      <c r="N813" s="224">
        <f t="shared" si="354"/>
        <v>1.58944</v>
      </c>
      <c r="O813" s="224">
        <f t="shared" si="355"/>
        <v>0</v>
      </c>
      <c r="P813" s="224">
        <f t="shared" si="356"/>
        <v>0</v>
      </c>
      <c r="Q813" s="205"/>
    </row>
    <row r="814" spans="1:17" hidden="1" outlineLevel="1">
      <c r="A814" s="271" t="s">
        <v>820</v>
      </c>
      <c r="B814" s="1346" t="s">
        <v>423</v>
      </c>
      <c r="C814" s="1332">
        <v>703</v>
      </c>
      <c r="D814" s="1313" t="s">
        <v>431</v>
      </c>
      <c r="E814" s="1347" t="s">
        <v>349</v>
      </c>
      <c r="F814" s="1313" t="s">
        <v>430</v>
      </c>
      <c r="G814" s="1349">
        <v>9.9339999999999998E-2</v>
      </c>
      <c r="H814" s="222">
        <f t="shared" si="376"/>
        <v>1939</v>
      </c>
      <c r="I814" s="1354">
        <v>1939</v>
      </c>
      <c r="J814" s="1354"/>
      <c r="K814" s="1354"/>
      <c r="L814" s="1347" t="s">
        <v>349</v>
      </c>
      <c r="M814" s="223">
        <f t="shared" si="370"/>
        <v>192.62026</v>
      </c>
      <c r="N814" s="224">
        <f t="shared" si="354"/>
        <v>192.62026</v>
      </c>
      <c r="O814" s="224">
        <f t="shared" si="355"/>
        <v>0</v>
      </c>
      <c r="P814" s="224">
        <f t="shared" si="356"/>
        <v>0</v>
      </c>
      <c r="Q814" s="205"/>
    </row>
    <row r="815" spans="1:17" hidden="1" outlineLevel="1">
      <c r="A815" s="271" t="s">
        <v>820</v>
      </c>
      <c r="B815" s="1346" t="s">
        <v>604</v>
      </c>
      <c r="C815" s="1332">
        <v>707</v>
      </c>
      <c r="D815" s="1313" t="s">
        <v>431</v>
      </c>
      <c r="E815" s="1347" t="s">
        <v>349</v>
      </c>
      <c r="F815" s="1313" t="s">
        <v>430</v>
      </c>
      <c r="G815" s="1349">
        <v>9.9339999999999998E-2</v>
      </c>
      <c r="H815" s="222">
        <f t="shared" si="376"/>
        <v>13460</v>
      </c>
      <c r="I815" s="1354">
        <v>13460</v>
      </c>
      <c r="J815" s="1354"/>
      <c r="K815" s="1354"/>
      <c r="L815" s="1347" t="s">
        <v>349</v>
      </c>
      <c r="M815" s="223">
        <f t="shared" si="370"/>
        <v>1337.1163999999999</v>
      </c>
      <c r="N815" s="224">
        <f t="shared" si="354"/>
        <v>1337.1163999999999</v>
      </c>
      <c r="O815" s="224">
        <f t="shared" si="355"/>
        <v>0</v>
      </c>
      <c r="P815" s="224">
        <f t="shared" si="356"/>
        <v>0</v>
      </c>
      <c r="Q815" s="205"/>
    </row>
    <row r="816" spans="1:17" hidden="1" outlineLevel="1">
      <c r="A816" s="271" t="s">
        <v>820</v>
      </c>
      <c r="B816" s="1356" t="s">
        <v>466</v>
      </c>
      <c r="C816" s="1334">
        <v>15025</v>
      </c>
      <c r="D816" s="1313" t="s">
        <v>431</v>
      </c>
      <c r="E816" s="1357" t="s">
        <v>349</v>
      </c>
      <c r="F816" s="1317" t="s">
        <v>430</v>
      </c>
      <c r="G816" s="1348">
        <v>9.9339999999999998E-2</v>
      </c>
      <c r="H816" s="222">
        <f t="shared" si="376"/>
        <v>1552</v>
      </c>
      <c r="I816" s="1354">
        <v>1552</v>
      </c>
      <c r="J816" s="1354"/>
      <c r="K816" s="1354"/>
      <c r="L816" s="1347" t="s">
        <v>349</v>
      </c>
      <c r="M816" s="223">
        <f t="shared" si="370"/>
        <v>154.17568</v>
      </c>
      <c r="N816" s="224">
        <f t="shared" si="354"/>
        <v>154.17568</v>
      </c>
      <c r="O816" s="224">
        <f t="shared" si="355"/>
        <v>0</v>
      </c>
      <c r="P816" s="224">
        <f t="shared" si="356"/>
        <v>0</v>
      </c>
      <c r="Q816" s="205"/>
    </row>
    <row r="817" spans="1:19" hidden="1" outlineLevel="1">
      <c r="A817" s="271" t="s">
        <v>820</v>
      </c>
      <c r="B817" s="1346" t="s">
        <v>659</v>
      </c>
      <c r="C817" s="1332">
        <v>51778</v>
      </c>
      <c r="D817" s="1313" t="s">
        <v>431</v>
      </c>
      <c r="E817" s="1347" t="s">
        <v>349</v>
      </c>
      <c r="F817" s="1313" t="s">
        <v>430</v>
      </c>
      <c r="G817" s="1349">
        <v>9.9339999999999998E-2</v>
      </c>
      <c r="H817" s="222">
        <f t="shared" si="376"/>
        <v>692</v>
      </c>
      <c r="I817" s="1354">
        <v>692</v>
      </c>
      <c r="J817" s="1354"/>
      <c r="K817" s="1354"/>
      <c r="L817" s="1347" t="s">
        <v>349</v>
      </c>
      <c r="M817" s="223">
        <f t="shared" si="370"/>
        <v>68.743279999999999</v>
      </c>
      <c r="N817" s="224">
        <f t="shared" si="354"/>
        <v>68.743279999999999</v>
      </c>
      <c r="O817" s="224">
        <f t="shared" si="355"/>
        <v>0</v>
      </c>
      <c r="P817" s="224">
        <f t="shared" si="356"/>
        <v>0</v>
      </c>
      <c r="Q817" s="205"/>
    </row>
    <row r="818" spans="1:19" hidden="1" outlineLevel="1">
      <c r="A818" s="225" t="s">
        <v>820</v>
      </c>
      <c r="B818" s="1350" t="s">
        <v>461</v>
      </c>
      <c r="C818" s="1336">
        <v>60447</v>
      </c>
      <c r="D818" s="1321" t="s">
        <v>431</v>
      </c>
      <c r="E818" s="1351" t="s">
        <v>349</v>
      </c>
      <c r="F818" s="1321" t="s">
        <v>430</v>
      </c>
      <c r="G818" s="1352">
        <v>9.9339999999999998E-2</v>
      </c>
      <c r="H818" s="226">
        <f t="shared" si="376"/>
        <v>21094</v>
      </c>
      <c r="I818" s="1355">
        <v>21094</v>
      </c>
      <c r="J818" s="1355"/>
      <c r="K818" s="1355"/>
      <c r="L818" s="1351" t="s">
        <v>349</v>
      </c>
      <c r="M818" s="227">
        <f t="shared" si="370"/>
        <v>2095.4779600000002</v>
      </c>
      <c r="N818" s="228">
        <f t="shared" si="354"/>
        <v>2095.4779600000002</v>
      </c>
      <c r="O818" s="228">
        <f t="shared" si="355"/>
        <v>0</v>
      </c>
      <c r="P818" s="228">
        <f t="shared" si="356"/>
        <v>0</v>
      </c>
      <c r="Q818" s="230"/>
      <c r="R818" s="512">
        <f>SUM(M787:M818)</f>
        <v>13398.621970000002</v>
      </c>
      <c r="S818" s="519"/>
    </row>
    <row r="819" spans="1:19" hidden="1" outlineLevel="1">
      <c r="A819" s="271" t="s">
        <v>820</v>
      </c>
      <c r="B819" s="1343" t="s">
        <v>408</v>
      </c>
      <c r="C819" s="1330">
        <v>841</v>
      </c>
      <c r="D819" s="1309" t="s">
        <v>432</v>
      </c>
      <c r="E819" s="1344" t="s">
        <v>349</v>
      </c>
      <c r="F819" s="1309" t="s">
        <v>429</v>
      </c>
      <c r="G819" s="1345">
        <v>9.3490000000000004E-2</v>
      </c>
      <c r="H819" s="222">
        <f t="shared" si="376"/>
        <v>695</v>
      </c>
      <c r="I819" s="1354">
        <v>695</v>
      </c>
      <c r="J819" s="1354"/>
      <c r="K819" s="1354"/>
      <c r="L819" s="1347" t="s">
        <v>349</v>
      </c>
      <c r="M819" s="223">
        <f t="shared" ref="M819:M840" si="377">SUM(N819:P819)</f>
        <v>64.975549999999998</v>
      </c>
      <c r="N819" s="224">
        <f t="shared" si="354"/>
        <v>64.975549999999998</v>
      </c>
      <c r="O819" s="224">
        <f t="shared" si="355"/>
        <v>0</v>
      </c>
      <c r="P819" s="224">
        <f t="shared" si="356"/>
        <v>0</v>
      </c>
      <c r="Q819" s="205"/>
    </row>
    <row r="820" spans="1:19" hidden="1" outlineLevel="1">
      <c r="A820" s="271" t="s">
        <v>820</v>
      </c>
      <c r="B820" s="1346" t="s">
        <v>409</v>
      </c>
      <c r="C820" s="1332">
        <v>21717</v>
      </c>
      <c r="D820" s="1313" t="s">
        <v>432</v>
      </c>
      <c r="E820" s="1347" t="s">
        <v>349</v>
      </c>
      <c r="F820" s="1313" t="s">
        <v>429</v>
      </c>
      <c r="G820" s="1349">
        <v>9.3490000000000004E-2</v>
      </c>
      <c r="H820" s="222">
        <f t="shared" si="376"/>
        <v>516</v>
      </c>
      <c r="I820" s="1354">
        <v>516</v>
      </c>
      <c r="J820" s="1354"/>
      <c r="K820" s="1354"/>
      <c r="L820" s="1347" t="s">
        <v>349</v>
      </c>
      <c r="M820" s="223">
        <f t="shared" si="377"/>
        <v>48.240839999999999</v>
      </c>
      <c r="N820" s="224">
        <f t="shared" si="354"/>
        <v>48.240839999999999</v>
      </c>
      <c r="O820" s="224">
        <f t="shared" si="355"/>
        <v>0</v>
      </c>
      <c r="P820" s="224">
        <f t="shared" si="356"/>
        <v>0</v>
      </c>
      <c r="Q820" s="205"/>
    </row>
    <row r="821" spans="1:19" hidden="1" outlineLevel="1">
      <c r="A821" s="271" t="s">
        <v>820</v>
      </c>
      <c r="B821" s="1346" t="s">
        <v>410</v>
      </c>
      <c r="C821" s="1332">
        <v>749</v>
      </c>
      <c r="D821" s="1313" t="s">
        <v>432</v>
      </c>
      <c r="E821" s="1347" t="s">
        <v>349</v>
      </c>
      <c r="F821" s="1313" t="s">
        <v>430</v>
      </c>
      <c r="G821" s="1349">
        <v>9.9339999999999998E-2</v>
      </c>
      <c r="H821" s="222">
        <f t="shared" si="376"/>
        <v>6619</v>
      </c>
      <c r="I821" s="1354">
        <v>6619</v>
      </c>
      <c r="J821" s="1354"/>
      <c r="K821" s="1354"/>
      <c r="L821" s="1347" t="s">
        <v>349</v>
      </c>
      <c r="M821" s="223">
        <f t="shared" si="377"/>
        <v>657.53146000000004</v>
      </c>
      <c r="N821" s="224">
        <f t="shared" si="354"/>
        <v>657.53146000000004</v>
      </c>
      <c r="O821" s="224">
        <f t="shared" si="355"/>
        <v>0</v>
      </c>
      <c r="P821" s="224">
        <f t="shared" si="356"/>
        <v>0</v>
      </c>
      <c r="Q821" s="205"/>
    </row>
    <row r="822" spans="1:19" hidden="1" outlineLevel="1">
      <c r="A822" s="271" t="s">
        <v>820</v>
      </c>
      <c r="B822" s="1346" t="s">
        <v>411</v>
      </c>
      <c r="C822" s="1332">
        <v>20044</v>
      </c>
      <c r="D822" s="1313" t="s">
        <v>432</v>
      </c>
      <c r="E822" s="1347" t="s">
        <v>349</v>
      </c>
      <c r="F822" s="1313" t="s">
        <v>430</v>
      </c>
      <c r="G822" s="1349">
        <v>9.9339999999999998E-2</v>
      </c>
      <c r="H822" s="222">
        <f t="shared" si="376"/>
        <v>2091</v>
      </c>
      <c r="I822" s="1354">
        <v>2091</v>
      </c>
      <c r="J822" s="1354"/>
      <c r="K822" s="1354"/>
      <c r="L822" s="1347" t="s">
        <v>349</v>
      </c>
      <c r="M822" s="223">
        <f t="shared" si="377"/>
        <v>207.71994000000001</v>
      </c>
      <c r="N822" s="224">
        <f t="shared" si="354"/>
        <v>207.71994000000001</v>
      </c>
      <c r="O822" s="224">
        <f t="shared" si="355"/>
        <v>0</v>
      </c>
      <c r="P822" s="224">
        <f t="shared" si="356"/>
        <v>0</v>
      </c>
      <c r="Q822" s="205"/>
    </row>
    <row r="823" spans="1:19" hidden="1" outlineLevel="1">
      <c r="A823" s="271" t="s">
        <v>820</v>
      </c>
      <c r="B823" s="1346" t="s">
        <v>412</v>
      </c>
      <c r="C823" s="1332">
        <v>15141</v>
      </c>
      <c r="D823" s="1313" t="s">
        <v>432</v>
      </c>
      <c r="E823" s="1347" t="s">
        <v>349</v>
      </c>
      <c r="F823" s="1313" t="s">
        <v>429</v>
      </c>
      <c r="G823" s="1349">
        <v>9.3490000000000004E-2</v>
      </c>
      <c r="H823" s="222">
        <f t="shared" si="376"/>
        <v>704</v>
      </c>
      <c r="I823" s="1354">
        <v>704</v>
      </c>
      <c r="J823" s="1354"/>
      <c r="K823" s="1354"/>
      <c r="L823" s="1347" t="s">
        <v>349</v>
      </c>
      <c r="M823" s="223">
        <f t="shared" ref="M823:M827" si="378">SUM(N823:P823)</f>
        <v>65.816960000000009</v>
      </c>
      <c r="N823" s="224">
        <f t="shared" ref="N823:N827" si="379">G823*I823</f>
        <v>65.816960000000009</v>
      </c>
      <c r="O823" s="224">
        <f t="shared" ref="O823:O827" si="380">G823*J823*5</f>
        <v>0</v>
      </c>
      <c r="P823" s="224">
        <f t="shared" ref="P823:P827" si="381">G823*K823*5</f>
        <v>0</v>
      </c>
      <c r="Q823" s="205"/>
    </row>
    <row r="824" spans="1:19" hidden="1" outlineLevel="1">
      <c r="A824" s="271" t="s">
        <v>820</v>
      </c>
      <c r="B824" s="1346" t="s">
        <v>413</v>
      </c>
      <c r="C824" s="1332">
        <v>16904</v>
      </c>
      <c r="D824" s="1313" t="s">
        <v>432</v>
      </c>
      <c r="E824" s="1347" t="s">
        <v>349</v>
      </c>
      <c r="F824" s="1313" t="s">
        <v>430</v>
      </c>
      <c r="G824" s="1349">
        <v>9.9339999999999998E-2</v>
      </c>
      <c r="H824" s="222">
        <f t="shared" si="376"/>
        <v>2168</v>
      </c>
      <c r="I824" s="1354">
        <v>2168</v>
      </c>
      <c r="J824" s="1354"/>
      <c r="K824" s="1354"/>
      <c r="L824" s="1347" t="s">
        <v>349</v>
      </c>
      <c r="M824" s="223">
        <f t="shared" si="378"/>
        <v>215.36911999999998</v>
      </c>
      <c r="N824" s="224">
        <f t="shared" si="379"/>
        <v>215.36911999999998</v>
      </c>
      <c r="O824" s="224">
        <f t="shared" si="380"/>
        <v>0</v>
      </c>
      <c r="P824" s="224">
        <f t="shared" si="381"/>
        <v>0</v>
      </c>
      <c r="Q824" s="205"/>
    </row>
    <row r="825" spans="1:19" hidden="1" outlineLevel="1">
      <c r="A825" s="271" t="s">
        <v>820</v>
      </c>
      <c r="B825" s="1346" t="s">
        <v>595</v>
      </c>
      <c r="C825" s="1332">
        <v>891</v>
      </c>
      <c r="D825" s="1313" t="s">
        <v>432</v>
      </c>
      <c r="E825" s="1347" t="s">
        <v>349</v>
      </c>
      <c r="F825" s="1313" t="s">
        <v>429</v>
      </c>
      <c r="G825" s="1349">
        <v>9.3490000000000004E-2</v>
      </c>
      <c r="H825" s="222">
        <f t="shared" si="376"/>
        <v>2071</v>
      </c>
      <c r="I825" s="1354">
        <v>2071</v>
      </c>
      <c r="J825" s="1354"/>
      <c r="K825" s="1354"/>
      <c r="L825" s="1347" t="s">
        <v>349</v>
      </c>
      <c r="M825" s="223">
        <f t="shared" si="378"/>
        <v>193.61779000000001</v>
      </c>
      <c r="N825" s="224">
        <f t="shared" si="379"/>
        <v>193.61779000000001</v>
      </c>
      <c r="O825" s="224">
        <f t="shared" si="380"/>
        <v>0</v>
      </c>
      <c r="P825" s="224">
        <f t="shared" si="381"/>
        <v>0</v>
      </c>
      <c r="Q825" s="205"/>
    </row>
    <row r="826" spans="1:19" hidden="1" outlineLevel="1">
      <c r="A826" s="271" t="s">
        <v>820</v>
      </c>
      <c r="B826" s="1346" t="s">
        <v>606</v>
      </c>
      <c r="C826" s="1332">
        <v>892</v>
      </c>
      <c r="D826" s="1313" t="s">
        <v>432</v>
      </c>
      <c r="E826" s="1347" t="s">
        <v>349</v>
      </c>
      <c r="F826" s="1313" t="s">
        <v>429</v>
      </c>
      <c r="G826" s="1349">
        <v>9.3490000000000004E-2</v>
      </c>
      <c r="H826" s="222">
        <f t="shared" si="376"/>
        <v>6283</v>
      </c>
      <c r="I826" s="1354">
        <v>6283</v>
      </c>
      <c r="J826" s="1354"/>
      <c r="K826" s="1354"/>
      <c r="L826" s="1347" t="s">
        <v>349</v>
      </c>
      <c r="M826" s="223">
        <f t="shared" si="378"/>
        <v>587.39767000000006</v>
      </c>
      <c r="N826" s="224">
        <f t="shared" si="379"/>
        <v>587.39767000000006</v>
      </c>
      <c r="O826" s="224">
        <f t="shared" si="380"/>
        <v>0</v>
      </c>
      <c r="P826" s="224">
        <f t="shared" si="381"/>
        <v>0</v>
      </c>
      <c r="Q826" s="205"/>
    </row>
    <row r="827" spans="1:19" hidden="1" outlineLevel="1">
      <c r="A827" s="271" t="s">
        <v>820</v>
      </c>
      <c r="B827" s="1346" t="s">
        <v>1302</v>
      </c>
      <c r="C827" s="1332">
        <v>708</v>
      </c>
      <c r="D827" s="1313" t="s">
        <v>432</v>
      </c>
      <c r="E827" s="1347" t="s">
        <v>349</v>
      </c>
      <c r="F827" s="1313" t="s">
        <v>430</v>
      </c>
      <c r="G827" s="1349">
        <v>9.9339999999999998E-2</v>
      </c>
      <c r="H827" s="222">
        <f t="shared" si="376"/>
        <v>0</v>
      </c>
      <c r="I827" s="1354">
        <v>0</v>
      </c>
      <c r="J827" s="1354"/>
      <c r="K827" s="1354"/>
      <c r="L827" s="1347" t="s">
        <v>349</v>
      </c>
      <c r="M827" s="223">
        <f t="shared" si="378"/>
        <v>0</v>
      </c>
      <c r="N827" s="224">
        <f t="shared" si="379"/>
        <v>0</v>
      </c>
      <c r="O827" s="224">
        <f t="shared" si="380"/>
        <v>0</v>
      </c>
      <c r="P827" s="224">
        <f t="shared" si="381"/>
        <v>0</v>
      </c>
      <c r="Q827" s="205"/>
    </row>
    <row r="828" spans="1:19" hidden="1" outlineLevel="1">
      <c r="A828" s="271" t="s">
        <v>820</v>
      </c>
      <c r="B828" s="1346" t="s">
        <v>414</v>
      </c>
      <c r="C828" s="1332">
        <v>16757</v>
      </c>
      <c r="D828" s="1313" t="s">
        <v>432</v>
      </c>
      <c r="E828" s="1347" t="s">
        <v>349</v>
      </c>
      <c r="F828" s="1313" t="s">
        <v>429</v>
      </c>
      <c r="G828" s="1349">
        <v>9.3490000000000004E-2</v>
      </c>
      <c r="H828" s="222">
        <f t="shared" ref="H828:H836" si="382">SUM(I828:K828)</f>
        <v>1320</v>
      </c>
      <c r="I828" s="1354">
        <v>1320</v>
      </c>
      <c r="J828" s="1354"/>
      <c r="K828" s="1354"/>
      <c r="L828" s="1347" t="s">
        <v>349</v>
      </c>
      <c r="M828" s="223">
        <f t="shared" si="377"/>
        <v>123.4068</v>
      </c>
      <c r="N828" s="224">
        <f t="shared" si="354"/>
        <v>123.4068</v>
      </c>
      <c r="O828" s="224">
        <f t="shared" si="355"/>
        <v>0</v>
      </c>
      <c r="P828" s="224">
        <f t="shared" si="356"/>
        <v>0</v>
      </c>
      <c r="Q828" s="205"/>
    </row>
    <row r="829" spans="1:19" hidden="1" outlineLevel="1">
      <c r="A829" s="271" t="s">
        <v>820</v>
      </c>
      <c r="B829" s="1346" t="s">
        <v>596</v>
      </c>
      <c r="C829" s="1332">
        <v>878</v>
      </c>
      <c r="D829" s="1313" t="s">
        <v>432</v>
      </c>
      <c r="E829" s="1347" t="s">
        <v>349</v>
      </c>
      <c r="F829" s="1313" t="s">
        <v>429</v>
      </c>
      <c r="G829" s="1349">
        <v>9.3490000000000004E-2</v>
      </c>
      <c r="H829" s="222">
        <f t="shared" si="382"/>
        <v>3795</v>
      </c>
      <c r="I829" s="1354">
        <v>3795</v>
      </c>
      <c r="J829" s="1354"/>
      <c r="K829" s="1354"/>
      <c r="L829" s="1347" t="s">
        <v>349</v>
      </c>
      <c r="M829" s="223">
        <f t="shared" si="377"/>
        <v>354.79455000000002</v>
      </c>
      <c r="N829" s="224">
        <f t="shared" si="354"/>
        <v>354.79455000000002</v>
      </c>
      <c r="O829" s="224">
        <f t="shared" si="355"/>
        <v>0</v>
      </c>
      <c r="P829" s="224">
        <f t="shared" si="356"/>
        <v>0</v>
      </c>
      <c r="Q829" s="205"/>
    </row>
    <row r="830" spans="1:19" hidden="1" outlineLevel="1">
      <c r="A830" s="271" t="s">
        <v>820</v>
      </c>
      <c r="B830" s="1346" t="s">
        <v>597</v>
      </c>
      <c r="C830" s="1332">
        <v>879</v>
      </c>
      <c r="D830" s="1313" t="s">
        <v>432</v>
      </c>
      <c r="E830" s="1347" t="s">
        <v>349</v>
      </c>
      <c r="F830" s="1313" t="s">
        <v>429</v>
      </c>
      <c r="G830" s="1349">
        <v>9.3490000000000004E-2</v>
      </c>
      <c r="H830" s="222">
        <f t="shared" si="382"/>
        <v>2341</v>
      </c>
      <c r="I830" s="1354">
        <v>2341</v>
      </c>
      <c r="J830" s="1354"/>
      <c r="K830" s="1354"/>
      <c r="L830" s="1347" t="s">
        <v>349</v>
      </c>
      <c r="M830" s="223">
        <f t="shared" si="377"/>
        <v>218.86009000000001</v>
      </c>
      <c r="N830" s="224">
        <f t="shared" si="354"/>
        <v>218.86009000000001</v>
      </c>
      <c r="O830" s="224">
        <f t="shared" si="355"/>
        <v>0</v>
      </c>
      <c r="P830" s="224">
        <f t="shared" si="356"/>
        <v>0</v>
      </c>
      <c r="Q830" s="205"/>
    </row>
    <row r="831" spans="1:19" hidden="1" outlineLevel="1">
      <c r="A831" s="271" t="s">
        <v>820</v>
      </c>
      <c r="B831" s="1346" t="s">
        <v>598</v>
      </c>
      <c r="C831" s="1332">
        <v>880</v>
      </c>
      <c r="D831" s="1313" t="s">
        <v>432</v>
      </c>
      <c r="E831" s="1347" t="s">
        <v>349</v>
      </c>
      <c r="F831" s="1313" t="s">
        <v>429</v>
      </c>
      <c r="G831" s="1349">
        <v>9.3490000000000004E-2</v>
      </c>
      <c r="H831" s="222">
        <f t="shared" si="382"/>
        <v>3589</v>
      </c>
      <c r="I831" s="1354">
        <v>3589</v>
      </c>
      <c r="J831" s="1354"/>
      <c r="K831" s="1354"/>
      <c r="L831" s="1347" t="s">
        <v>349</v>
      </c>
      <c r="M831" s="223">
        <f t="shared" si="377"/>
        <v>335.53561000000002</v>
      </c>
      <c r="N831" s="224">
        <f t="shared" si="354"/>
        <v>335.53561000000002</v>
      </c>
      <c r="O831" s="224">
        <f t="shared" si="355"/>
        <v>0</v>
      </c>
      <c r="P831" s="224">
        <f t="shared" si="356"/>
        <v>0</v>
      </c>
      <c r="Q831" s="205"/>
    </row>
    <row r="832" spans="1:19" hidden="1" outlineLevel="1">
      <c r="A832" s="271" t="s">
        <v>820</v>
      </c>
      <c r="B832" s="1346" t="s">
        <v>599</v>
      </c>
      <c r="C832" s="1332">
        <v>4650</v>
      </c>
      <c r="D832" s="1313" t="s">
        <v>432</v>
      </c>
      <c r="E832" s="1347" t="s">
        <v>349</v>
      </c>
      <c r="F832" s="1313" t="s">
        <v>429</v>
      </c>
      <c r="G832" s="1349">
        <v>9.3490000000000004E-2</v>
      </c>
      <c r="H832" s="222">
        <f t="shared" si="382"/>
        <v>8786</v>
      </c>
      <c r="I832" s="1354">
        <v>8786</v>
      </c>
      <c r="J832" s="1354"/>
      <c r="K832" s="1354"/>
      <c r="L832" s="1347" t="s">
        <v>349</v>
      </c>
      <c r="M832" s="223">
        <f t="shared" si="377"/>
        <v>821.40314000000001</v>
      </c>
      <c r="N832" s="224">
        <f t="shared" si="354"/>
        <v>821.40314000000001</v>
      </c>
      <c r="O832" s="224">
        <f t="shared" si="355"/>
        <v>0</v>
      </c>
      <c r="P832" s="224">
        <f t="shared" si="356"/>
        <v>0</v>
      </c>
      <c r="Q832" s="205"/>
    </row>
    <row r="833" spans="1:17" hidden="1" outlineLevel="1">
      <c r="A833" s="271" t="s">
        <v>820</v>
      </c>
      <c r="B833" s="1346" t="s">
        <v>1303</v>
      </c>
      <c r="C833" s="1332">
        <v>14114</v>
      </c>
      <c r="D833" s="1313" t="s">
        <v>432</v>
      </c>
      <c r="E833" s="1347" t="s">
        <v>349</v>
      </c>
      <c r="F833" s="1313" t="s">
        <v>430</v>
      </c>
      <c r="G833" s="1349">
        <v>9.9339999999999998E-2</v>
      </c>
      <c r="H833" s="222">
        <f t="shared" si="382"/>
        <v>10951</v>
      </c>
      <c r="I833" s="1354">
        <v>10951</v>
      </c>
      <c r="J833" s="1354"/>
      <c r="K833" s="1354"/>
      <c r="L833" s="1347" t="s">
        <v>349</v>
      </c>
      <c r="M833" s="223">
        <f t="shared" si="377"/>
        <v>1087.8723399999999</v>
      </c>
      <c r="N833" s="224">
        <f t="shared" si="354"/>
        <v>1087.8723399999999</v>
      </c>
      <c r="O833" s="224">
        <f t="shared" si="355"/>
        <v>0</v>
      </c>
      <c r="P833" s="224">
        <f t="shared" si="356"/>
        <v>0</v>
      </c>
      <c r="Q833" s="205"/>
    </row>
    <row r="834" spans="1:17" hidden="1" outlineLevel="1">
      <c r="A834" s="271" t="s">
        <v>820</v>
      </c>
      <c r="B834" s="1346" t="s">
        <v>1303</v>
      </c>
      <c r="C834" s="1332">
        <v>14114</v>
      </c>
      <c r="D834" s="1313" t="s">
        <v>432</v>
      </c>
      <c r="E834" s="1347" t="s">
        <v>349</v>
      </c>
      <c r="F834" s="1313" t="s">
        <v>430</v>
      </c>
      <c r="G834" s="1349">
        <v>0.18235000000000001</v>
      </c>
      <c r="H834" s="222">
        <f t="shared" si="382"/>
        <v>8059</v>
      </c>
      <c r="I834" s="1354">
        <v>8059</v>
      </c>
      <c r="J834" s="1354"/>
      <c r="K834" s="1354"/>
      <c r="L834" s="1347" t="s">
        <v>349</v>
      </c>
      <c r="M834" s="223">
        <f t="shared" si="377"/>
        <v>1469.5586500000002</v>
      </c>
      <c r="N834" s="224">
        <f t="shared" si="354"/>
        <v>1469.5586500000002</v>
      </c>
      <c r="O834" s="224">
        <f t="shared" si="355"/>
        <v>0</v>
      </c>
      <c r="P834" s="224">
        <f t="shared" si="356"/>
        <v>0</v>
      </c>
      <c r="Q834" s="205"/>
    </row>
    <row r="835" spans="1:17" hidden="1" outlineLevel="1">
      <c r="A835" s="271" t="s">
        <v>820</v>
      </c>
      <c r="B835" s="1346" t="s">
        <v>600</v>
      </c>
      <c r="C835" s="1332">
        <v>969</v>
      </c>
      <c r="D835" s="1313" t="s">
        <v>432</v>
      </c>
      <c r="E835" s="1347" t="s">
        <v>349</v>
      </c>
      <c r="F835" s="1313" t="s">
        <v>429</v>
      </c>
      <c r="G835" s="1349">
        <v>9.3490000000000004E-2</v>
      </c>
      <c r="H835" s="222">
        <f t="shared" si="382"/>
        <v>8881</v>
      </c>
      <c r="I835" s="1354">
        <v>8881</v>
      </c>
      <c r="J835" s="1354"/>
      <c r="K835" s="1354"/>
      <c r="L835" s="1347" t="s">
        <v>349</v>
      </c>
      <c r="M835" s="223">
        <f t="shared" si="377"/>
        <v>830.28469000000007</v>
      </c>
      <c r="N835" s="224">
        <f t="shared" si="354"/>
        <v>830.28469000000007</v>
      </c>
      <c r="O835" s="224">
        <f t="shared" si="355"/>
        <v>0</v>
      </c>
      <c r="P835" s="224">
        <f t="shared" si="356"/>
        <v>0</v>
      </c>
      <c r="Q835" s="205"/>
    </row>
    <row r="836" spans="1:17" hidden="1" outlineLevel="1">
      <c r="A836" s="271" t="s">
        <v>820</v>
      </c>
      <c r="B836" s="1346" t="s">
        <v>601</v>
      </c>
      <c r="C836" s="1332">
        <v>1003</v>
      </c>
      <c r="D836" s="1313" t="s">
        <v>432</v>
      </c>
      <c r="E836" s="1347" t="s">
        <v>349</v>
      </c>
      <c r="F836" s="1313" t="s">
        <v>430</v>
      </c>
      <c r="G836" s="1349">
        <v>9.9339999999999998E-2</v>
      </c>
      <c r="H836" s="222">
        <f t="shared" si="382"/>
        <v>4956</v>
      </c>
      <c r="I836" s="1354">
        <v>4956</v>
      </c>
      <c r="J836" s="1354"/>
      <c r="K836" s="1354"/>
      <c r="L836" s="1347" t="s">
        <v>349</v>
      </c>
      <c r="M836" s="223">
        <f t="shared" si="377"/>
        <v>492.32903999999996</v>
      </c>
      <c r="N836" s="224">
        <f t="shared" si="354"/>
        <v>492.32903999999996</v>
      </c>
      <c r="O836" s="224">
        <f t="shared" si="355"/>
        <v>0</v>
      </c>
      <c r="P836" s="224">
        <f t="shared" si="356"/>
        <v>0</v>
      </c>
      <c r="Q836" s="205"/>
    </row>
    <row r="837" spans="1:17" hidden="1" outlineLevel="1">
      <c r="A837" s="271" t="s">
        <v>820</v>
      </c>
      <c r="B837" s="1346" t="s">
        <v>416</v>
      </c>
      <c r="C837" s="1332">
        <v>881</v>
      </c>
      <c r="D837" s="1313" t="s">
        <v>432</v>
      </c>
      <c r="E837" s="1347" t="s">
        <v>349</v>
      </c>
      <c r="F837" s="1313" t="s">
        <v>429</v>
      </c>
      <c r="G837" s="1349">
        <v>9.3490000000000004E-2</v>
      </c>
      <c r="H837" s="222">
        <f t="shared" ref="H837:H882" si="383">SUM(I837:K837)</f>
        <v>648</v>
      </c>
      <c r="I837" s="1354">
        <v>648</v>
      </c>
      <c r="J837" s="1354"/>
      <c r="K837" s="1354"/>
      <c r="L837" s="1347" t="s">
        <v>349</v>
      </c>
      <c r="M837" s="223">
        <f t="shared" si="377"/>
        <v>60.581520000000005</v>
      </c>
      <c r="N837" s="224">
        <f t="shared" si="354"/>
        <v>60.581520000000005</v>
      </c>
      <c r="O837" s="224">
        <f t="shared" si="355"/>
        <v>0</v>
      </c>
      <c r="P837" s="224">
        <f t="shared" si="356"/>
        <v>0</v>
      </c>
      <c r="Q837" s="205"/>
    </row>
    <row r="838" spans="1:17" hidden="1" outlineLevel="1">
      <c r="A838" s="271" t="s">
        <v>820</v>
      </c>
      <c r="B838" s="1346" t="s">
        <v>417</v>
      </c>
      <c r="C838" s="1332">
        <v>832</v>
      </c>
      <c r="D838" s="1313" t="s">
        <v>432</v>
      </c>
      <c r="E838" s="1347" t="s">
        <v>349</v>
      </c>
      <c r="F838" s="1313" t="s">
        <v>429</v>
      </c>
      <c r="G838" s="1349">
        <v>9.3490000000000004E-2</v>
      </c>
      <c r="H838" s="222">
        <f t="shared" si="383"/>
        <v>279</v>
      </c>
      <c r="I838" s="1354">
        <v>279</v>
      </c>
      <c r="J838" s="1354"/>
      <c r="K838" s="1354"/>
      <c r="L838" s="1347" t="s">
        <v>349</v>
      </c>
      <c r="M838" s="223">
        <f t="shared" si="377"/>
        <v>26.08371</v>
      </c>
      <c r="N838" s="224">
        <f t="shared" si="354"/>
        <v>26.08371</v>
      </c>
      <c r="O838" s="224">
        <f t="shared" si="355"/>
        <v>0</v>
      </c>
      <c r="P838" s="224">
        <f t="shared" si="356"/>
        <v>0</v>
      </c>
      <c r="Q838" s="205"/>
    </row>
    <row r="839" spans="1:17" hidden="1" outlineLevel="1">
      <c r="A839" s="271" t="s">
        <v>820</v>
      </c>
      <c r="B839" s="1346" t="s">
        <v>418</v>
      </c>
      <c r="C839" s="1332">
        <v>1138</v>
      </c>
      <c r="D839" s="1313" t="s">
        <v>432</v>
      </c>
      <c r="E839" s="1347" t="s">
        <v>349</v>
      </c>
      <c r="F839" s="1313" t="s">
        <v>430</v>
      </c>
      <c r="G839" s="1349">
        <v>9.9339999999999998E-2</v>
      </c>
      <c r="H839" s="222">
        <f t="shared" si="383"/>
        <v>8912</v>
      </c>
      <c r="I839" s="1354">
        <v>8912</v>
      </c>
      <c r="J839" s="1354"/>
      <c r="K839" s="1354"/>
      <c r="L839" s="1347" t="s">
        <v>349</v>
      </c>
      <c r="M839" s="223">
        <f t="shared" si="377"/>
        <v>885.31808000000001</v>
      </c>
      <c r="N839" s="224">
        <f t="shared" si="354"/>
        <v>885.31808000000001</v>
      </c>
      <c r="O839" s="224">
        <f t="shared" si="355"/>
        <v>0</v>
      </c>
      <c r="P839" s="224">
        <f t="shared" si="356"/>
        <v>0</v>
      </c>
      <c r="Q839" s="205"/>
    </row>
    <row r="840" spans="1:17" hidden="1" outlineLevel="1">
      <c r="A840" s="271" t="s">
        <v>820</v>
      </c>
      <c r="B840" s="1346" t="s">
        <v>419</v>
      </c>
      <c r="C840" s="1332">
        <v>1010</v>
      </c>
      <c r="D840" s="1313" t="s">
        <v>432</v>
      </c>
      <c r="E840" s="1347" t="s">
        <v>349</v>
      </c>
      <c r="F840" s="1313" t="s">
        <v>430</v>
      </c>
      <c r="G840" s="1349">
        <v>9.9339999999999998E-2</v>
      </c>
      <c r="H840" s="222">
        <f t="shared" si="383"/>
        <v>128</v>
      </c>
      <c r="I840" s="1354">
        <v>128</v>
      </c>
      <c r="J840" s="1354"/>
      <c r="K840" s="1354"/>
      <c r="L840" s="1347" t="s">
        <v>349</v>
      </c>
      <c r="M840" s="223">
        <f t="shared" si="377"/>
        <v>12.71552</v>
      </c>
      <c r="N840" s="224">
        <f t="shared" si="354"/>
        <v>12.71552</v>
      </c>
      <c r="O840" s="224">
        <f t="shared" si="355"/>
        <v>0</v>
      </c>
      <c r="P840" s="224">
        <f t="shared" si="356"/>
        <v>0</v>
      </c>
      <c r="Q840" s="205"/>
    </row>
    <row r="841" spans="1:17" hidden="1" outlineLevel="1">
      <c r="A841" s="271" t="s">
        <v>820</v>
      </c>
      <c r="B841" s="1346" t="s">
        <v>420</v>
      </c>
      <c r="C841" s="1332">
        <v>16476</v>
      </c>
      <c r="D841" s="1313" t="s">
        <v>432</v>
      </c>
      <c r="E841" s="1347" t="s">
        <v>349</v>
      </c>
      <c r="F841" s="1313" t="s">
        <v>430</v>
      </c>
      <c r="G841" s="1349">
        <v>9.9339999999999998E-2</v>
      </c>
      <c r="H841" s="222">
        <f t="shared" si="383"/>
        <v>1039</v>
      </c>
      <c r="I841" s="1354">
        <v>1039</v>
      </c>
      <c r="J841" s="1354"/>
      <c r="K841" s="1354"/>
      <c r="L841" s="1347" t="s">
        <v>349</v>
      </c>
      <c r="M841" s="223">
        <f t="shared" ref="M841:M843" si="384">SUM(N841:P841)</f>
        <v>103.21426</v>
      </c>
      <c r="N841" s="224">
        <f t="shared" si="354"/>
        <v>103.21426</v>
      </c>
      <c r="O841" s="224">
        <f t="shared" si="355"/>
        <v>0</v>
      </c>
      <c r="P841" s="224">
        <f t="shared" si="356"/>
        <v>0</v>
      </c>
      <c r="Q841" s="205"/>
    </row>
    <row r="842" spans="1:17" hidden="1" outlineLevel="1">
      <c r="A842" s="271" t="s">
        <v>820</v>
      </c>
      <c r="B842" s="1346" t="s">
        <v>602</v>
      </c>
      <c r="C842" s="1332">
        <v>965</v>
      </c>
      <c r="D842" s="1313" t="s">
        <v>432</v>
      </c>
      <c r="E842" s="1347" t="s">
        <v>349</v>
      </c>
      <c r="F842" s="1313" t="s">
        <v>429</v>
      </c>
      <c r="G842" s="1349">
        <v>9.3490000000000004E-2</v>
      </c>
      <c r="H842" s="222">
        <f t="shared" si="383"/>
        <v>2215</v>
      </c>
      <c r="I842" s="1354">
        <v>2215</v>
      </c>
      <c r="J842" s="1354"/>
      <c r="K842" s="1354"/>
      <c r="L842" s="1347" t="s">
        <v>349</v>
      </c>
      <c r="M842" s="223">
        <f t="shared" si="384"/>
        <v>207.08035000000001</v>
      </c>
      <c r="N842" s="224">
        <f t="shared" si="354"/>
        <v>207.08035000000001</v>
      </c>
      <c r="O842" s="224">
        <f t="shared" si="355"/>
        <v>0</v>
      </c>
      <c r="P842" s="224">
        <f t="shared" si="356"/>
        <v>0</v>
      </c>
      <c r="Q842" s="205"/>
    </row>
    <row r="843" spans="1:17" hidden="1" outlineLevel="1">
      <c r="A843" s="271" t="s">
        <v>820</v>
      </c>
      <c r="B843" s="1346" t="s">
        <v>603</v>
      </c>
      <c r="C843" s="1332">
        <v>968</v>
      </c>
      <c r="D843" s="1313" t="s">
        <v>432</v>
      </c>
      <c r="E843" s="1347" t="s">
        <v>349</v>
      </c>
      <c r="F843" s="1313" t="s">
        <v>429</v>
      </c>
      <c r="G843" s="1349">
        <v>9.3490000000000004E-2</v>
      </c>
      <c r="H843" s="222">
        <f t="shared" si="383"/>
        <v>1456</v>
      </c>
      <c r="I843" s="1354">
        <v>1456</v>
      </c>
      <c r="J843" s="1354"/>
      <c r="K843" s="1354"/>
      <c r="L843" s="1347" t="s">
        <v>349</v>
      </c>
      <c r="M843" s="223">
        <f t="shared" si="384"/>
        <v>136.12144000000001</v>
      </c>
      <c r="N843" s="224">
        <f t="shared" si="354"/>
        <v>136.12144000000001</v>
      </c>
      <c r="O843" s="224">
        <f t="shared" si="355"/>
        <v>0</v>
      </c>
      <c r="P843" s="224">
        <f t="shared" si="356"/>
        <v>0</v>
      </c>
      <c r="Q843" s="205"/>
    </row>
    <row r="844" spans="1:17" hidden="1" outlineLevel="1">
      <c r="A844" s="271" t="s">
        <v>820</v>
      </c>
      <c r="B844" s="1346" t="s">
        <v>421</v>
      </c>
      <c r="C844" s="1332">
        <v>964</v>
      </c>
      <c r="D844" s="1313" t="s">
        <v>432</v>
      </c>
      <c r="E844" s="1347" t="s">
        <v>349</v>
      </c>
      <c r="F844" s="1313" t="s">
        <v>429</v>
      </c>
      <c r="G844" s="1349">
        <v>9.3490000000000004E-2</v>
      </c>
      <c r="H844" s="222">
        <f t="shared" si="383"/>
        <v>94</v>
      </c>
      <c r="I844" s="1354">
        <v>94</v>
      </c>
      <c r="J844" s="1354"/>
      <c r="K844" s="1354"/>
      <c r="L844" s="1347" t="s">
        <v>349</v>
      </c>
      <c r="M844" s="223">
        <f t="shared" ref="M844:M876" si="385">SUM(N844:P844)</f>
        <v>8.7880599999999998</v>
      </c>
      <c r="N844" s="224">
        <f t="shared" si="354"/>
        <v>8.7880599999999998</v>
      </c>
      <c r="O844" s="224">
        <f t="shared" si="355"/>
        <v>0</v>
      </c>
      <c r="P844" s="224">
        <f t="shared" si="356"/>
        <v>0</v>
      </c>
      <c r="Q844" s="205"/>
    </row>
    <row r="845" spans="1:17" hidden="1" outlineLevel="1">
      <c r="A845" s="271" t="s">
        <v>820</v>
      </c>
      <c r="B845" s="1346" t="s">
        <v>422</v>
      </c>
      <c r="C845" s="1332">
        <v>16477</v>
      </c>
      <c r="D845" s="1313" t="s">
        <v>432</v>
      </c>
      <c r="E845" s="1347" t="s">
        <v>349</v>
      </c>
      <c r="F845" s="1313" t="s">
        <v>430</v>
      </c>
      <c r="G845" s="1349">
        <v>9.9339999999999998E-2</v>
      </c>
      <c r="H845" s="222">
        <f t="shared" si="383"/>
        <v>11</v>
      </c>
      <c r="I845" s="1354">
        <v>11</v>
      </c>
      <c r="J845" s="1354"/>
      <c r="K845" s="1354"/>
      <c r="L845" s="1347" t="s">
        <v>349</v>
      </c>
      <c r="M845" s="223">
        <f t="shared" si="385"/>
        <v>1.09274</v>
      </c>
      <c r="N845" s="224">
        <f t="shared" si="354"/>
        <v>1.09274</v>
      </c>
      <c r="O845" s="224">
        <f t="shared" si="355"/>
        <v>0</v>
      </c>
      <c r="P845" s="224">
        <f t="shared" si="356"/>
        <v>0</v>
      </c>
      <c r="Q845" s="205"/>
    </row>
    <row r="846" spans="1:17" hidden="1" outlineLevel="1">
      <c r="A846" s="271" t="s">
        <v>820</v>
      </c>
      <c r="B846" s="1346" t="s">
        <v>423</v>
      </c>
      <c r="C846" s="1332">
        <v>703</v>
      </c>
      <c r="D846" s="1313" t="s">
        <v>432</v>
      </c>
      <c r="E846" s="1347" t="s">
        <v>349</v>
      </c>
      <c r="F846" s="1313" t="s">
        <v>430</v>
      </c>
      <c r="G846" s="1349">
        <v>9.9339999999999998E-2</v>
      </c>
      <c r="H846" s="222">
        <f t="shared" si="383"/>
        <v>1818</v>
      </c>
      <c r="I846" s="1354">
        <v>1818</v>
      </c>
      <c r="J846" s="1354"/>
      <c r="K846" s="1354"/>
      <c r="L846" s="1347" t="s">
        <v>349</v>
      </c>
      <c r="M846" s="223">
        <f t="shared" si="385"/>
        <v>180.60012</v>
      </c>
      <c r="N846" s="224">
        <f t="shared" si="354"/>
        <v>180.60012</v>
      </c>
      <c r="O846" s="224">
        <f t="shared" si="355"/>
        <v>0</v>
      </c>
      <c r="P846" s="224">
        <f t="shared" si="356"/>
        <v>0</v>
      </c>
      <c r="Q846" s="205"/>
    </row>
    <row r="847" spans="1:17" hidden="1" outlineLevel="1">
      <c r="A847" s="271" t="s">
        <v>820</v>
      </c>
      <c r="B847" s="1346" t="s">
        <v>604</v>
      </c>
      <c r="C847" s="1332">
        <v>707</v>
      </c>
      <c r="D847" s="1313" t="s">
        <v>432</v>
      </c>
      <c r="E847" s="1347" t="s">
        <v>349</v>
      </c>
      <c r="F847" s="1313" t="s">
        <v>430</v>
      </c>
      <c r="G847" s="1349">
        <v>9.9339999999999998E-2</v>
      </c>
      <c r="H847" s="222">
        <f t="shared" si="383"/>
        <v>12221</v>
      </c>
      <c r="I847" s="1354">
        <v>12221</v>
      </c>
      <c r="J847" s="1354"/>
      <c r="K847" s="1354"/>
      <c r="L847" s="1347" t="s">
        <v>349</v>
      </c>
      <c r="M847" s="223">
        <f t="shared" si="385"/>
        <v>1214.03414</v>
      </c>
      <c r="N847" s="224">
        <f t="shared" si="354"/>
        <v>1214.03414</v>
      </c>
      <c r="O847" s="224">
        <f t="shared" si="355"/>
        <v>0</v>
      </c>
      <c r="P847" s="224">
        <f t="shared" si="356"/>
        <v>0</v>
      </c>
      <c r="Q847" s="205"/>
    </row>
    <row r="848" spans="1:17" hidden="1" outlineLevel="1">
      <c r="A848" s="271" t="s">
        <v>820</v>
      </c>
      <c r="B848" s="1356" t="s">
        <v>466</v>
      </c>
      <c r="C848" s="1334">
        <v>15025</v>
      </c>
      <c r="D848" s="1313" t="s">
        <v>432</v>
      </c>
      <c r="E848" s="1357" t="s">
        <v>349</v>
      </c>
      <c r="F848" s="1317" t="s">
        <v>430</v>
      </c>
      <c r="G848" s="1348">
        <v>9.9339999999999998E-2</v>
      </c>
      <c r="H848" s="222">
        <f t="shared" si="383"/>
        <v>1436</v>
      </c>
      <c r="I848" s="1354">
        <v>1436</v>
      </c>
      <c r="J848" s="1354"/>
      <c r="K848" s="1354"/>
      <c r="L848" s="1347" t="s">
        <v>349</v>
      </c>
      <c r="M848" s="223">
        <f t="shared" si="385"/>
        <v>142.65224000000001</v>
      </c>
      <c r="N848" s="224">
        <f t="shared" si="354"/>
        <v>142.65224000000001</v>
      </c>
      <c r="O848" s="224">
        <f t="shared" si="355"/>
        <v>0</v>
      </c>
      <c r="P848" s="224">
        <f t="shared" si="356"/>
        <v>0</v>
      </c>
      <c r="Q848" s="205"/>
    </row>
    <row r="849" spans="1:19" hidden="1" outlineLevel="1">
      <c r="A849" s="271" t="s">
        <v>820</v>
      </c>
      <c r="B849" s="1346" t="s">
        <v>659</v>
      </c>
      <c r="C849" s="1332">
        <v>51778</v>
      </c>
      <c r="D849" s="1313" t="s">
        <v>432</v>
      </c>
      <c r="E849" s="1347" t="s">
        <v>349</v>
      </c>
      <c r="F849" s="1313" t="s">
        <v>430</v>
      </c>
      <c r="G849" s="1349">
        <v>9.9339999999999998E-2</v>
      </c>
      <c r="H849" s="222">
        <f t="shared" si="383"/>
        <v>799</v>
      </c>
      <c r="I849" s="1354">
        <v>799</v>
      </c>
      <c r="J849" s="1354"/>
      <c r="K849" s="1354"/>
      <c r="L849" s="1347" t="s">
        <v>349</v>
      </c>
      <c r="M849" s="223">
        <f t="shared" si="385"/>
        <v>79.372659999999996</v>
      </c>
      <c r="N849" s="224">
        <f t="shared" si="354"/>
        <v>79.372659999999996</v>
      </c>
      <c r="O849" s="224">
        <f t="shared" si="355"/>
        <v>0</v>
      </c>
      <c r="P849" s="224">
        <f t="shared" si="356"/>
        <v>0</v>
      </c>
      <c r="Q849" s="205"/>
    </row>
    <row r="850" spans="1:19" hidden="1" outlineLevel="1">
      <c r="A850" s="225" t="s">
        <v>820</v>
      </c>
      <c r="B850" s="1350" t="s">
        <v>461</v>
      </c>
      <c r="C850" s="1336">
        <v>60447</v>
      </c>
      <c r="D850" s="1321" t="s">
        <v>432</v>
      </c>
      <c r="E850" s="1351" t="s">
        <v>349</v>
      </c>
      <c r="F850" s="1321" t="s">
        <v>430</v>
      </c>
      <c r="G850" s="1352">
        <v>9.9339999999999998E-2</v>
      </c>
      <c r="H850" s="226">
        <f t="shared" si="383"/>
        <v>21693</v>
      </c>
      <c r="I850" s="1355">
        <v>21693</v>
      </c>
      <c r="J850" s="1355"/>
      <c r="K850" s="1355"/>
      <c r="L850" s="1351" t="s">
        <v>349</v>
      </c>
      <c r="M850" s="227">
        <f t="shared" si="385"/>
        <v>2154.9826199999998</v>
      </c>
      <c r="N850" s="228">
        <f t="shared" si="354"/>
        <v>2154.9826199999998</v>
      </c>
      <c r="O850" s="228">
        <f t="shared" si="355"/>
        <v>0</v>
      </c>
      <c r="P850" s="228">
        <f t="shared" si="356"/>
        <v>0</v>
      </c>
      <c r="Q850" s="230"/>
      <c r="R850" s="512">
        <f>SUM(M819:M850)</f>
        <v>12987.351699999999</v>
      </c>
      <c r="S850" s="519"/>
    </row>
    <row r="851" spans="1:19" hidden="1" outlineLevel="1">
      <c r="A851" s="271" t="s">
        <v>820</v>
      </c>
      <c r="B851" s="1343" t="s">
        <v>408</v>
      </c>
      <c r="C851" s="1330">
        <v>841</v>
      </c>
      <c r="D851" s="1309" t="s">
        <v>433</v>
      </c>
      <c r="E851" s="1344" t="s">
        <v>349</v>
      </c>
      <c r="F851" s="1309" t="s">
        <v>429</v>
      </c>
      <c r="G851" s="1345">
        <v>9.3490000000000004E-2</v>
      </c>
      <c r="H851" s="222">
        <f t="shared" si="383"/>
        <v>457</v>
      </c>
      <c r="I851" s="1354">
        <v>457</v>
      </c>
      <c r="J851" s="1358"/>
      <c r="K851" s="1358"/>
      <c r="L851" s="1357" t="s">
        <v>349</v>
      </c>
      <c r="M851" s="223">
        <f t="shared" si="385"/>
        <v>42.724930000000001</v>
      </c>
      <c r="N851" s="224">
        <f t="shared" si="354"/>
        <v>42.724930000000001</v>
      </c>
      <c r="O851" s="224">
        <f t="shared" si="355"/>
        <v>0</v>
      </c>
      <c r="P851" s="224">
        <f t="shared" si="356"/>
        <v>0</v>
      </c>
      <c r="Q851" s="205"/>
    </row>
    <row r="852" spans="1:19" hidden="1" outlineLevel="1">
      <c r="A852" s="271" t="s">
        <v>820</v>
      </c>
      <c r="B852" s="1346" t="s">
        <v>409</v>
      </c>
      <c r="C852" s="1332">
        <v>21717</v>
      </c>
      <c r="D852" s="1317" t="s">
        <v>433</v>
      </c>
      <c r="E852" s="1347" t="s">
        <v>349</v>
      </c>
      <c r="F852" s="1313" t="s">
        <v>429</v>
      </c>
      <c r="G852" s="1349">
        <v>9.3490000000000004E-2</v>
      </c>
      <c r="H852" s="222">
        <f t="shared" si="383"/>
        <v>832</v>
      </c>
      <c r="I852" s="1354">
        <v>832</v>
      </c>
      <c r="J852" s="1358"/>
      <c r="K852" s="1358"/>
      <c r="L852" s="1357" t="s">
        <v>349</v>
      </c>
      <c r="M852" s="223">
        <f t="shared" si="385"/>
        <v>77.783680000000004</v>
      </c>
      <c r="N852" s="224">
        <f t="shared" si="354"/>
        <v>77.783680000000004</v>
      </c>
      <c r="O852" s="224">
        <f t="shared" si="355"/>
        <v>0</v>
      </c>
      <c r="P852" s="224">
        <f t="shared" si="356"/>
        <v>0</v>
      </c>
      <c r="Q852" s="292"/>
    </row>
    <row r="853" spans="1:19" hidden="1" outlineLevel="1">
      <c r="A853" s="271" t="s">
        <v>820</v>
      </c>
      <c r="B853" s="1346" t="s">
        <v>410</v>
      </c>
      <c r="C853" s="1332">
        <v>749</v>
      </c>
      <c r="D853" s="1317" t="s">
        <v>433</v>
      </c>
      <c r="E853" s="1347" t="s">
        <v>349</v>
      </c>
      <c r="F853" s="1313" t="s">
        <v>430</v>
      </c>
      <c r="G853" s="1349">
        <v>9.9339999999999998E-2</v>
      </c>
      <c r="H853" s="222">
        <f t="shared" si="383"/>
        <v>4489</v>
      </c>
      <c r="I853" s="1354">
        <v>4489</v>
      </c>
      <c r="J853" s="1354"/>
      <c r="K853" s="1354"/>
      <c r="L853" s="1347" t="s">
        <v>349</v>
      </c>
      <c r="M853" s="223">
        <f t="shared" si="385"/>
        <v>445.93725999999998</v>
      </c>
      <c r="N853" s="224">
        <f t="shared" si="354"/>
        <v>445.93725999999998</v>
      </c>
      <c r="O853" s="224">
        <f t="shared" si="355"/>
        <v>0</v>
      </c>
      <c r="P853" s="224">
        <f t="shared" si="356"/>
        <v>0</v>
      </c>
      <c r="Q853" s="292"/>
    </row>
    <row r="854" spans="1:19" hidden="1" outlineLevel="1">
      <c r="A854" s="271" t="s">
        <v>820</v>
      </c>
      <c r="B854" s="1346" t="s">
        <v>411</v>
      </c>
      <c r="C854" s="1332">
        <v>20044</v>
      </c>
      <c r="D854" s="1317" t="s">
        <v>433</v>
      </c>
      <c r="E854" s="1347" t="s">
        <v>349</v>
      </c>
      <c r="F854" s="1313" t="s">
        <v>430</v>
      </c>
      <c r="G854" s="1349">
        <v>9.9339999999999998E-2</v>
      </c>
      <c r="H854" s="222">
        <f t="shared" si="383"/>
        <v>1375</v>
      </c>
      <c r="I854" s="1354">
        <v>1375</v>
      </c>
      <c r="J854" s="1354"/>
      <c r="K854" s="1354"/>
      <c r="L854" s="1347" t="s">
        <v>349</v>
      </c>
      <c r="M854" s="223">
        <f t="shared" si="385"/>
        <v>136.5925</v>
      </c>
      <c r="N854" s="224">
        <f t="shared" si="354"/>
        <v>136.5925</v>
      </c>
      <c r="O854" s="224">
        <f t="shared" si="355"/>
        <v>0</v>
      </c>
      <c r="P854" s="224">
        <f t="shared" si="356"/>
        <v>0</v>
      </c>
      <c r="Q854" s="292"/>
    </row>
    <row r="855" spans="1:19" hidden="1" outlineLevel="1">
      <c r="A855" s="271" t="s">
        <v>820</v>
      </c>
      <c r="B855" s="1346" t="s">
        <v>412</v>
      </c>
      <c r="C855" s="1332">
        <v>15141</v>
      </c>
      <c r="D855" s="1317" t="s">
        <v>433</v>
      </c>
      <c r="E855" s="1347" t="s">
        <v>349</v>
      </c>
      <c r="F855" s="1313" t="s">
        <v>429</v>
      </c>
      <c r="G855" s="1349">
        <v>9.3490000000000004E-2</v>
      </c>
      <c r="H855" s="222">
        <f t="shared" si="383"/>
        <v>559</v>
      </c>
      <c r="I855" s="1354">
        <v>559</v>
      </c>
      <c r="J855" s="1354"/>
      <c r="K855" s="1354"/>
      <c r="L855" s="1347" t="s">
        <v>349</v>
      </c>
      <c r="M855" s="223">
        <f t="shared" si="385"/>
        <v>52.260910000000003</v>
      </c>
      <c r="N855" s="224">
        <f t="shared" ref="N855:N882" si="386">G855*I855</f>
        <v>52.260910000000003</v>
      </c>
      <c r="O855" s="224">
        <f t="shared" ref="O855:O882" si="387">G855*J855*5</f>
        <v>0</v>
      </c>
      <c r="P855" s="224">
        <f t="shared" ref="P855:P882" si="388">G855*K855*5</f>
        <v>0</v>
      </c>
      <c r="Q855" s="292"/>
    </row>
    <row r="856" spans="1:19" hidden="1" outlineLevel="1">
      <c r="A856" s="271" t="s">
        <v>820</v>
      </c>
      <c r="B856" s="1346" t="s">
        <v>413</v>
      </c>
      <c r="C856" s="1332">
        <v>16904</v>
      </c>
      <c r="D856" s="1317" t="s">
        <v>433</v>
      </c>
      <c r="E856" s="1347" t="s">
        <v>349</v>
      </c>
      <c r="F856" s="1313" t="s">
        <v>430</v>
      </c>
      <c r="G856" s="1349">
        <v>9.9339999999999998E-2</v>
      </c>
      <c r="H856" s="222">
        <f t="shared" si="383"/>
        <v>1457</v>
      </c>
      <c r="I856" s="1354">
        <v>1457</v>
      </c>
      <c r="J856" s="1354"/>
      <c r="K856" s="1354"/>
      <c r="L856" s="1347" t="s">
        <v>349</v>
      </c>
      <c r="M856" s="223">
        <f t="shared" si="385"/>
        <v>144.73838000000001</v>
      </c>
      <c r="N856" s="224">
        <f t="shared" si="386"/>
        <v>144.73838000000001</v>
      </c>
      <c r="O856" s="224">
        <f t="shared" si="387"/>
        <v>0</v>
      </c>
      <c r="P856" s="224">
        <f t="shared" si="388"/>
        <v>0</v>
      </c>
      <c r="Q856" s="292"/>
    </row>
    <row r="857" spans="1:19" hidden="1" outlineLevel="1">
      <c r="A857" s="271" t="s">
        <v>820</v>
      </c>
      <c r="B857" s="1346" t="s">
        <v>595</v>
      </c>
      <c r="C857" s="1332">
        <v>891</v>
      </c>
      <c r="D857" s="1317" t="s">
        <v>433</v>
      </c>
      <c r="E857" s="1347" t="s">
        <v>349</v>
      </c>
      <c r="F857" s="1313" t="s">
        <v>429</v>
      </c>
      <c r="G857" s="1349">
        <v>9.3490000000000004E-2</v>
      </c>
      <c r="H857" s="222">
        <f t="shared" ref="H857:H864" si="389">SUM(I857:K857)</f>
        <v>2020</v>
      </c>
      <c r="I857" s="1354">
        <v>2020</v>
      </c>
      <c r="J857" s="1354"/>
      <c r="K857" s="1354"/>
      <c r="L857" s="1347" t="s">
        <v>349</v>
      </c>
      <c r="M857" s="223">
        <f t="shared" ref="M857:M864" si="390">SUM(N857:P857)</f>
        <v>188.84980000000002</v>
      </c>
      <c r="N857" s="224">
        <f t="shared" ref="N857:N864" si="391">G857*I857</f>
        <v>188.84980000000002</v>
      </c>
      <c r="O857" s="224">
        <f t="shared" ref="O857:O864" si="392">G857*J857*5</f>
        <v>0</v>
      </c>
      <c r="P857" s="224">
        <f t="shared" ref="P857:P864" si="393">G857*K857*5</f>
        <v>0</v>
      </c>
      <c r="Q857" s="292"/>
    </row>
    <row r="858" spans="1:19" hidden="1" outlineLevel="1">
      <c r="A858" s="271" t="s">
        <v>820</v>
      </c>
      <c r="B858" s="1346" t="s">
        <v>606</v>
      </c>
      <c r="C858" s="1332">
        <v>892</v>
      </c>
      <c r="D858" s="1317" t="s">
        <v>433</v>
      </c>
      <c r="E858" s="1347" t="s">
        <v>349</v>
      </c>
      <c r="F858" s="1313" t="s">
        <v>429</v>
      </c>
      <c r="G858" s="1349">
        <v>9.3490000000000004E-2</v>
      </c>
      <c r="H858" s="222">
        <f t="shared" si="389"/>
        <v>5943</v>
      </c>
      <c r="I858" s="1354">
        <v>5943</v>
      </c>
      <c r="J858" s="1354"/>
      <c r="K858" s="1354"/>
      <c r="L858" s="1347" t="s">
        <v>349</v>
      </c>
      <c r="M858" s="223">
        <f t="shared" si="390"/>
        <v>555.61107000000004</v>
      </c>
      <c r="N858" s="224">
        <f t="shared" si="391"/>
        <v>555.61107000000004</v>
      </c>
      <c r="O858" s="224">
        <f t="shared" si="392"/>
        <v>0</v>
      </c>
      <c r="P858" s="224">
        <f t="shared" si="393"/>
        <v>0</v>
      </c>
      <c r="Q858" s="292"/>
    </row>
    <row r="859" spans="1:19" hidden="1" outlineLevel="1">
      <c r="A859" s="271" t="s">
        <v>820</v>
      </c>
      <c r="B859" s="1346" t="s">
        <v>1302</v>
      </c>
      <c r="C859" s="1332">
        <v>708</v>
      </c>
      <c r="D859" s="1317" t="s">
        <v>433</v>
      </c>
      <c r="E859" s="1347" t="s">
        <v>349</v>
      </c>
      <c r="F859" s="1313" t="s">
        <v>430</v>
      </c>
      <c r="G859" s="1349">
        <v>9.9339999999999998E-2</v>
      </c>
      <c r="H859" s="222">
        <f t="shared" si="389"/>
        <v>0</v>
      </c>
      <c r="I859" s="1354">
        <v>0</v>
      </c>
      <c r="J859" s="1354"/>
      <c r="K859" s="1354"/>
      <c r="L859" s="1347" t="s">
        <v>349</v>
      </c>
      <c r="M859" s="223">
        <f t="shared" si="390"/>
        <v>0</v>
      </c>
      <c r="N859" s="224">
        <f t="shared" si="391"/>
        <v>0</v>
      </c>
      <c r="O859" s="224">
        <f t="shared" si="392"/>
        <v>0</v>
      </c>
      <c r="P859" s="224">
        <f t="shared" si="393"/>
        <v>0</v>
      </c>
      <c r="Q859" s="292"/>
    </row>
    <row r="860" spans="1:19" hidden="1" outlineLevel="1">
      <c r="A860" s="271" t="s">
        <v>820</v>
      </c>
      <c r="B860" s="1346" t="s">
        <v>414</v>
      </c>
      <c r="C860" s="1332">
        <v>16757</v>
      </c>
      <c r="D860" s="1317" t="s">
        <v>433</v>
      </c>
      <c r="E860" s="1347" t="s">
        <v>349</v>
      </c>
      <c r="F860" s="1313" t="s">
        <v>429</v>
      </c>
      <c r="G860" s="1349">
        <v>9.3490000000000004E-2</v>
      </c>
      <c r="H860" s="222">
        <f t="shared" si="389"/>
        <v>1299</v>
      </c>
      <c r="I860" s="1354">
        <v>1299</v>
      </c>
      <c r="J860" s="1354"/>
      <c r="K860" s="1354"/>
      <c r="L860" s="1347" t="s">
        <v>349</v>
      </c>
      <c r="M860" s="223">
        <f t="shared" si="390"/>
        <v>121.44351</v>
      </c>
      <c r="N860" s="224">
        <f t="shared" si="391"/>
        <v>121.44351</v>
      </c>
      <c r="O860" s="224">
        <f t="shared" si="392"/>
        <v>0</v>
      </c>
      <c r="P860" s="224">
        <f t="shared" si="393"/>
        <v>0</v>
      </c>
      <c r="Q860" s="292"/>
    </row>
    <row r="861" spans="1:19" hidden="1" outlineLevel="1">
      <c r="A861" s="271" t="s">
        <v>820</v>
      </c>
      <c r="B861" s="1346" t="s">
        <v>596</v>
      </c>
      <c r="C861" s="1332">
        <v>878</v>
      </c>
      <c r="D861" s="1317" t="s">
        <v>433</v>
      </c>
      <c r="E861" s="1347" t="s">
        <v>349</v>
      </c>
      <c r="F861" s="1313" t="s">
        <v>429</v>
      </c>
      <c r="G861" s="1349">
        <v>9.3490000000000004E-2</v>
      </c>
      <c r="H861" s="222">
        <f t="shared" si="389"/>
        <v>4557</v>
      </c>
      <c r="I861" s="1354">
        <v>4557</v>
      </c>
      <c r="J861" s="1354"/>
      <c r="K861" s="1354"/>
      <c r="L861" s="1347" t="s">
        <v>349</v>
      </c>
      <c r="M861" s="223">
        <f t="shared" si="390"/>
        <v>426.03393</v>
      </c>
      <c r="N861" s="224">
        <f t="shared" si="391"/>
        <v>426.03393</v>
      </c>
      <c r="O861" s="224">
        <f t="shared" si="392"/>
        <v>0</v>
      </c>
      <c r="P861" s="224">
        <f t="shared" si="393"/>
        <v>0</v>
      </c>
      <c r="Q861" s="292"/>
    </row>
    <row r="862" spans="1:19" hidden="1" outlineLevel="1">
      <c r="A862" s="271" t="s">
        <v>820</v>
      </c>
      <c r="B862" s="1346" t="s">
        <v>597</v>
      </c>
      <c r="C862" s="1332">
        <v>879</v>
      </c>
      <c r="D862" s="1317" t="s">
        <v>433</v>
      </c>
      <c r="E862" s="1347" t="s">
        <v>349</v>
      </c>
      <c r="F862" s="1313" t="s">
        <v>429</v>
      </c>
      <c r="G862" s="1349">
        <v>9.3490000000000004E-2</v>
      </c>
      <c r="H862" s="222">
        <f t="shared" si="389"/>
        <v>3283</v>
      </c>
      <c r="I862" s="1354">
        <v>3283</v>
      </c>
      <c r="J862" s="1354"/>
      <c r="K862" s="1354"/>
      <c r="L862" s="1347" t="s">
        <v>349</v>
      </c>
      <c r="M862" s="223">
        <f t="shared" si="390"/>
        <v>306.92767000000003</v>
      </c>
      <c r="N862" s="224">
        <f t="shared" si="391"/>
        <v>306.92767000000003</v>
      </c>
      <c r="O862" s="224">
        <f t="shared" si="392"/>
        <v>0</v>
      </c>
      <c r="P862" s="224">
        <f t="shared" si="393"/>
        <v>0</v>
      </c>
      <c r="Q862" s="292"/>
    </row>
    <row r="863" spans="1:19" hidden="1" outlineLevel="1">
      <c r="A863" s="271" t="s">
        <v>820</v>
      </c>
      <c r="B863" s="1346" t="s">
        <v>598</v>
      </c>
      <c r="C863" s="1332">
        <v>880</v>
      </c>
      <c r="D863" s="1317" t="s">
        <v>433</v>
      </c>
      <c r="E863" s="1347" t="s">
        <v>349</v>
      </c>
      <c r="F863" s="1313" t="s">
        <v>429</v>
      </c>
      <c r="G863" s="1349">
        <v>9.3490000000000004E-2</v>
      </c>
      <c r="H863" s="222">
        <f t="shared" si="389"/>
        <v>4310</v>
      </c>
      <c r="I863" s="1354">
        <v>4310</v>
      </c>
      <c r="J863" s="1354"/>
      <c r="K863" s="1354"/>
      <c r="L863" s="1347" t="s">
        <v>349</v>
      </c>
      <c r="M863" s="223">
        <f t="shared" si="390"/>
        <v>402.94190000000003</v>
      </c>
      <c r="N863" s="224">
        <f t="shared" si="391"/>
        <v>402.94190000000003</v>
      </c>
      <c r="O863" s="224">
        <f t="shared" si="392"/>
        <v>0</v>
      </c>
      <c r="P863" s="224">
        <f t="shared" si="393"/>
        <v>0</v>
      </c>
      <c r="Q863" s="292"/>
    </row>
    <row r="864" spans="1:19" hidden="1" outlineLevel="1">
      <c r="A864" s="271" t="s">
        <v>820</v>
      </c>
      <c r="B864" s="1346" t="s">
        <v>599</v>
      </c>
      <c r="C864" s="1332">
        <v>4650</v>
      </c>
      <c r="D864" s="1317" t="s">
        <v>433</v>
      </c>
      <c r="E864" s="1347" t="s">
        <v>349</v>
      </c>
      <c r="F864" s="1313" t="s">
        <v>429</v>
      </c>
      <c r="G864" s="1349">
        <v>9.3490000000000004E-2</v>
      </c>
      <c r="H864" s="222">
        <f t="shared" si="389"/>
        <v>9062</v>
      </c>
      <c r="I864" s="1354">
        <v>9062</v>
      </c>
      <c r="J864" s="1354"/>
      <c r="K864" s="1354"/>
      <c r="L864" s="1347" t="s">
        <v>349</v>
      </c>
      <c r="M864" s="223">
        <f t="shared" si="390"/>
        <v>847.20638000000008</v>
      </c>
      <c r="N864" s="224">
        <f t="shared" si="391"/>
        <v>847.20638000000008</v>
      </c>
      <c r="O864" s="224">
        <f t="shared" si="392"/>
        <v>0</v>
      </c>
      <c r="P864" s="224">
        <f t="shared" si="393"/>
        <v>0</v>
      </c>
      <c r="Q864" s="292"/>
    </row>
    <row r="865" spans="1:17" hidden="1" outlineLevel="1">
      <c r="A865" s="271" t="s">
        <v>820</v>
      </c>
      <c r="B865" s="1346" t="s">
        <v>1303</v>
      </c>
      <c r="C865" s="1332">
        <v>14114</v>
      </c>
      <c r="D865" s="1317" t="s">
        <v>433</v>
      </c>
      <c r="E865" s="1347" t="s">
        <v>349</v>
      </c>
      <c r="F865" s="1313" t="s">
        <v>430</v>
      </c>
      <c r="G865" s="1349">
        <v>9.9339999999999998E-2</v>
      </c>
      <c r="H865" s="222">
        <f t="shared" si="383"/>
        <v>8262</v>
      </c>
      <c r="I865" s="1354">
        <v>8262</v>
      </c>
      <c r="J865" s="1354"/>
      <c r="K865" s="1354"/>
      <c r="L865" s="1347" t="s">
        <v>349</v>
      </c>
      <c r="M865" s="223">
        <f t="shared" si="385"/>
        <v>820.74707999999998</v>
      </c>
      <c r="N865" s="224">
        <f t="shared" si="386"/>
        <v>820.74707999999998</v>
      </c>
      <c r="O865" s="224">
        <f t="shared" si="387"/>
        <v>0</v>
      </c>
      <c r="P865" s="224">
        <f t="shared" si="388"/>
        <v>0</v>
      </c>
      <c r="Q865" s="292"/>
    </row>
    <row r="866" spans="1:17" hidden="1" outlineLevel="1">
      <c r="A866" s="271" t="s">
        <v>820</v>
      </c>
      <c r="B866" s="1346" t="s">
        <v>1303</v>
      </c>
      <c r="C866" s="1332">
        <v>14114</v>
      </c>
      <c r="D866" s="1317" t="s">
        <v>433</v>
      </c>
      <c r="E866" s="1347" t="s">
        <v>349</v>
      </c>
      <c r="F866" s="1313" t="s">
        <v>430</v>
      </c>
      <c r="G866" s="1349">
        <v>0.18235000000000001</v>
      </c>
      <c r="H866" s="222">
        <f t="shared" si="383"/>
        <v>6652</v>
      </c>
      <c r="I866" s="1354">
        <v>6652</v>
      </c>
      <c r="J866" s="1354"/>
      <c r="K866" s="1354"/>
      <c r="L866" s="1347" t="s">
        <v>349</v>
      </c>
      <c r="M866" s="223">
        <f t="shared" si="385"/>
        <v>1212.9922000000001</v>
      </c>
      <c r="N866" s="224">
        <f t="shared" si="386"/>
        <v>1212.9922000000001</v>
      </c>
      <c r="O866" s="224">
        <f t="shared" si="387"/>
        <v>0</v>
      </c>
      <c r="P866" s="224">
        <f t="shared" si="388"/>
        <v>0</v>
      </c>
      <c r="Q866" s="292"/>
    </row>
    <row r="867" spans="1:17" hidden="1" outlineLevel="1">
      <c r="A867" s="211" t="s">
        <v>820</v>
      </c>
      <c r="B867" s="1346" t="s">
        <v>600</v>
      </c>
      <c r="C867" s="1332">
        <v>969</v>
      </c>
      <c r="D867" s="1317" t="s">
        <v>433</v>
      </c>
      <c r="E867" s="1347" t="s">
        <v>349</v>
      </c>
      <c r="F867" s="1313" t="s">
        <v>429</v>
      </c>
      <c r="G867" s="1349">
        <v>9.3490000000000004E-2</v>
      </c>
      <c r="H867" s="222">
        <f t="shared" si="383"/>
        <v>8937</v>
      </c>
      <c r="I867" s="1354">
        <v>8937</v>
      </c>
      <c r="J867" s="1354"/>
      <c r="K867" s="1354"/>
      <c r="L867" s="1347" t="s">
        <v>349</v>
      </c>
      <c r="M867" s="223">
        <f t="shared" si="385"/>
        <v>835.52012999999999</v>
      </c>
      <c r="N867" s="224">
        <f t="shared" si="386"/>
        <v>835.52012999999999</v>
      </c>
      <c r="O867" s="224">
        <f t="shared" si="387"/>
        <v>0</v>
      </c>
      <c r="P867" s="224">
        <f t="shared" si="388"/>
        <v>0</v>
      </c>
      <c r="Q867" s="292"/>
    </row>
    <row r="868" spans="1:17" hidden="1" outlineLevel="1">
      <c r="A868" s="211" t="s">
        <v>820</v>
      </c>
      <c r="B868" s="1346" t="s">
        <v>601</v>
      </c>
      <c r="C868" s="1332">
        <v>1003</v>
      </c>
      <c r="D868" s="1317" t="s">
        <v>433</v>
      </c>
      <c r="E868" s="1347" t="s">
        <v>349</v>
      </c>
      <c r="F868" s="1313" t="s">
        <v>430</v>
      </c>
      <c r="G868" s="1349">
        <v>9.9339999999999998E-2</v>
      </c>
      <c r="H868" s="222">
        <f t="shared" si="383"/>
        <v>4702</v>
      </c>
      <c r="I868" s="1354">
        <v>4702</v>
      </c>
      <c r="J868" s="1354"/>
      <c r="K868" s="1354"/>
      <c r="L868" s="1347" t="s">
        <v>349</v>
      </c>
      <c r="M868" s="223">
        <f t="shared" si="385"/>
        <v>467.09667999999999</v>
      </c>
      <c r="N868" s="224">
        <f t="shared" si="386"/>
        <v>467.09667999999999</v>
      </c>
      <c r="O868" s="224">
        <f t="shared" si="387"/>
        <v>0</v>
      </c>
      <c r="P868" s="224">
        <f t="shared" si="388"/>
        <v>0</v>
      </c>
      <c r="Q868" s="292"/>
    </row>
    <row r="869" spans="1:17" hidden="1" outlineLevel="1">
      <c r="A869" s="211" t="s">
        <v>820</v>
      </c>
      <c r="B869" s="1346" t="s">
        <v>416</v>
      </c>
      <c r="C869" s="1332">
        <v>881</v>
      </c>
      <c r="D869" s="1317" t="s">
        <v>433</v>
      </c>
      <c r="E869" s="1347" t="s">
        <v>349</v>
      </c>
      <c r="F869" s="1313" t="s">
        <v>429</v>
      </c>
      <c r="G869" s="1349">
        <v>9.3490000000000004E-2</v>
      </c>
      <c r="H869" s="222">
        <f t="shared" si="383"/>
        <v>549</v>
      </c>
      <c r="I869" s="1354">
        <v>549</v>
      </c>
      <c r="J869" s="1354"/>
      <c r="K869" s="1354"/>
      <c r="L869" s="1347" t="s">
        <v>349</v>
      </c>
      <c r="M869" s="223">
        <f t="shared" si="385"/>
        <v>51.326010000000004</v>
      </c>
      <c r="N869" s="224">
        <f t="shared" si="386"/>
        <v>51.326010000000004</v>
      </c>
      <c r="O869" s="224">
        <f t="shared" si="387"/>
        <v>0</v>
      </c>
      <c r="P869" s="224">
        <f t="shared" si="388"/>
        <v>0</v>
      </c>
      <c r="Q869" s="292"/>
    </row>
    <row r="870" spans="1:17" hidden="1" outlineLevel="1">
      <c r="A870" s="211" t="s">
        <v>820</v>
      </c>
      <c r="B870" s="1346" t="s">
        <v>417</v>
      </c>
      <c r="C870" s="1332">
        <v>832</v>
      </c>
      <c r="D870" s="1317" t="s">
        <v>433</v>
      </c>
      <c r="E870" s="1347" t="s">
        <v>349</v>
      </c>
      <c r="F870" s="1313" t="s">
        <v>429</v>
      </c>
      <c r="G870" s="1349">
        <v>9.3490000000000004E-2</v>
      </c>
      <c r="H870" s="222">
        <f t="shared" si="383"/>
        <v>269</v>
      </c>
      <c r="I870" s="1354">
        <v>269</v>
      </c>
      <c r="J870" s="1354"/>
      <c r="K870" s="1354"/>
      <c r="L870" s="1347" t="s">
        <v>349</v>
      </c>
      <c r="M870" s="223">
        <f t="shared" si="385"/>
        <v>25.148810000000001</v>
      </c>
      <c r="N870" s="224">
        <f t="shared" si="386"/>
        <v>25.148810000000001</v>
      </c>
      <c r="O870" s="224">
        <f t="shared" si="387"/>
        <v>0</v>
      </c>
      <c r="P870" s="224">
        <f t="shared" si="388"/>
        <v>0</v>
      </c>
      <c r="Q870" s="292"/>
    </row>
    <row r="871" spans="1:17" hidden="1" outlineLevel="1">
      <c r="A871" s="211" t="s">
        <v>820</v>
      </c>
      <c r="B871" s="1346" t="s">
        <v>418</v>
      </c>
      <c r="C871" s="1332">
        <v>1138</v>
      </c>
      <c r="D871" s="1317" t="s">
        <v>433</v>
      </c>
      <c r="E871" s="1347" t="s">
        <v>349</v>
      </c>
      <c r="F871" s="1313" t="s">
        <v>430</v>
      </c>
      <c r="G871" s="1349">
        <v>9.9339999999999998E-2</v>
      </c>
      <c r="H871" s="222">
        <f t="shared" si="383"/>
        <v>5413</v>
      </c>
      <c r="I871" s="1354">
        <v>5413</v>
      </c>
      <c r="J871" s="1354"/>
      <c r="K871" s="1354"/>
      <c r="L871" s="1347" t="s">
        <v>349</v>
      </c>
      <c r="M871" s="223">
        <f t="shared" si="385"/>
        <v>537.72741999999994</v>
      </c>
      <c r="N871" s="224">
        <f t="shared" si="386"/>
        <v>537.72741999999994</v>
      </c>
      <c r="O871" s="224">
        <f t="shared" si="387"/>
        <v>0</v>
      </c>
      <c r="P871" s="224">
        <f t="shared" si="388"/>
        <v>0</v>
      </c>
      <c r="Q871" s="292"/>
    </row>
    <row r="872" spans="1:17" hidden="1" outlineLevel="1">
      <c r="A872" s="211" t="s">
        <v>820</v>
      </c>
      <c r="B872" s="1346" t="s">
        <v>419</v>
      </c>
      <c r="C872" s="1332">
        <v>1010</v>
      </c>
      <c r="D872" s="1317" t="s">
        <v>433</v>
      </c>
      <c r="E872" s="1347" t="s">
        <v>349</v>
      </c>
      <c r="F872" s="1313" t="s">
        <v>430</v>
      </c>
      <c r="G872" s="1349">
        <v>9.9339999999999998E-2</v>
      </c>
      <c r="H872" s="222">
        <f t="shared" si="383"/>
        <v>110</v>
      </c>
      <c r="I872" s="1354">
        <v>110</v>
      </c>
      <c r="J872" s="1354"/>
      <c r="K872" s="1354"/>
      <c r="L872" s="1347" t="s">
        <v>349</v>
      </c>
      <c r="M872" s="223">
        <f t="shared" si="385"/>
        <v>10.9274</v>
      </c>
      <c r="N872" s="224">
        <f t="shared" si="386"/>
        <v>10.9274</v>
      </c>
      <c r="O872" s="224">
        <f t="shared" si="387"/>
        <v>0</v>
      </c>
      <c r="P872" s="224">
        <f t="shared" si="388"/>
        <v>0</v>
      </c>
      <c r="Q872" s="292"/>
    </row>
    <row r="873" spans="1:17" hidden="1" outlineLevel="1">
      <c r="A873" s="211" t="s">
        <v>820</v>
      </c>
      <c r="B873" s="1346" t="s">
        <v>420</v>
      </c>
      <c r="C873" s="1332">
        <v>16476</v>
      </c>
      <c r="D873" s="1317" t="s">
        <v>433</v>
      </c>
      <c r="E873" s="1347" t="s">
        <v>349</v>
      </c>
      <c r="F873" s="1313" t="s">
        <v>430</v>
      </c>
      <c r="G873" s="1349">
        <v>9.9339999999999998E-2</v>
      </c>
      <c r="H873" s="222">
        <f t="shared" si="383"/>
        <v>516</v>
      </c>
      <c r="I873" s="1354">
        <v>516</v>
      </c>
      <c r="J873" s="1354"/>
      <c r="K873" s="1354"/>
      <c r="L873" s="1347" t="s">
        <v>349</v>
      </c>
      <c r="M873" s="223">
        <f t="shared" si="385"/>
        <v>51.259439999999998</v>
      </c>
      <c r="N873" s="224">
        <f t="shared" si="386"/>
        <v>51.259439999999998</v>
      </c>
      <c r="O873" s="224">
        <f t="shared" si="387"/>
        <v>0</v>
      </c>
      <c r="P873" s="224">
        <f t="shared" si="388"/>
        <v>0</v>
      </c>
      <c r="Q873" s="292"/>
    </row>
    <row r="874" spans="1:17" hidden="1" outlineLevel="1">
      <c r="A874" s="211" t="s">
        <v>820</v>
      </c>
      <c r="B874" s="1346" t="s">
        <v>602</v>
      </c>
      <c r="C874" s="1332">
        <v>965</v>
      </c>
      <c r="D874" s="1317" t="s">
        <v>433</v>
      </c>
      <c r="E874" s="1347" t="s">
        <v>349</v>
      </c>
      <c r="F874" s="1313" t="s">
        <v>429</v>
      </c>
      <c r="G874" s="1349">
        <v>9.3490000000000004E-2</v>
      </c>
      <c r="H874" s="222">
        <f t="shared" si="383"/>
        <v>1385</v>
      </c>
      <c r="I874" s="1354">
        <v>1385</v>
      </c>
      <c r="J874" s="1354"/>
      <c r="K874" s="1354"/>
      <c r="L874" s="1347" t="s">
        <v>349</v>
      </c>
      <c r="M874" s="223">
        <f t="shared" si="385"/>
        <v>129.48365000000001</v>
      </c>
      <c r="N874" s="224">
        <f t="shared" si="386"/>
        <v>129.48365000000001</v>
      </c>
      <c r="O874" s="224">
        <f t="shared" si="387"/>
        <v>0</v>
      </c>
      <c r="P874" s="224">
        <f t="shared" si="388"/>
        <v>0</v>
      </c>
      <c r="Q874" s="292"/>
    </row>
    <row r="875" spans="1:17" hidden="1" outlineLevel="1">
      <c r="A875" s="211" t="s">
        <v>820</v>
      </c>
      <c r="B875" s="1346" t="s">
        <v>603</v>
      </c>
      <c r="C875" s="1332">
        <v>968</v>
      </c>
      <c r="D875" s="1317" t="s">
        <v>433</v>
      </c>
      <c r="E875" s="1347" t="s">
        <v>349</v>
      </c>
      <c r="F875" s="1313" t="s">
        <v>429</v>
      </c>
      <c r="G875" s="1349">
        <v>9.3490000000000004E-2</v>
      </c>
      <c r="H875" s="222">
        <f t="shared" si="383"/>
        <v>1401</v>
      </c>
      <c r="I875" s="1354">
        <v>1401</v>
      </c>
      <c r="J875" s="1354"/>
      <c r="K875" s="1354"/>
      <c r="L875" s="1347" t="s">
        <v>349</v>
      </c>
      <c r="M875" s="223">
        <f t="shared" si="385"/>
        <v>130.97949</v>
      </c>
      <c r="N875" s="224">
        <f t="shared" si="386"/>
        <v>130.97949</v>
      </c>
      <c r="O875" s="224">
        <f t="shared" si="387"/>
        <v>0</v>
      </c>
      <c r="P875" s="224">
        <f t="shared" si="388"/>
        <v>0</v>
      </c>
      <c r="Q875" s="292"/>
    </row>
    <row r="876" spans="1:17" hidden="1" outlineLevel="1">
      <c r="A876" s="211" t="s">
        <v>820</v>
      </c>
      <c r="B876" s="1346" t="s">
        <v>421</v>
      </c>
      <c r="C876" s="1332">
        <v>964</v>
      </c>
      <c r="D876" s="1317" t="s">
        <v>433</v>
      </c>
      <c r="E876" s="1347" t="s">
        <v>349</v>
      </c>
      <c r="F876" s="1313" t="s">
        <v>429</v>
      </c>
      <c r="G876" s="1349">
        <v>9.3490000000000004E-2</v>
      </c>
      <c r="H876" s="222">
        <f t="shared" si="383"/>
        <v>41</v>
      </c>
      <c r="I876" s="1354">
        <v>41</v>
      </c>
      <c r="J876" s="1354"/>
      <c r="K876" s="1354"/>
      <c r="L876" s="1347" t="s">
        <v>349</v>
      </c>
      <c r="M876" s="223">
        <f t="shared" si="385"/>
        <v>3.8330900000000003</v>
      </c>
      <c r="N876" s="224">
        <f t="shared" si="386"/>
        <v>3.8330900000000003</v>
      </c>
      <c r="O876" s="224">
        <f t="shared" si="387"/>
        <v>0</v>
      </c>
      <c r="P876" s="224">
        <f t="shared" si="388"/>
        <v>0</v>
      </c>
      <c r="Q876" s="292"/>
    </row>
    <row r="877" spans="1:17" hidden="1" outlineLevel="1">
      <c r="A877" s="271" t="s">
        <v>820</v>
      </c>
      <c r="B877" s="1346" t="s">
        <v>422</v>
      </c>
      <c r="C877" s="1332">
        <v>16477</v>
      </c>
      <c r="D877" s="1317" t="s">
        <v>433</v>
      </c>
      <c r="E877" s="1347" t="s">
        <v>349</v>
      </c>
      <c r="F877" s="1313" t="s">
        <v>430</v>
      </c>
      <c r="G877" s="1349">
        <v>9.9339999999999998E-2</v>
      </c>
      <c r="H877" s="222">
        <f t="shared" si="383"/>
        <v>32</v>
      </c>
      <c r="I877" s="1354">
        <v>32</v>
      </c>
      <c r="J877" s="1354"/>
      <c r="K877" s="1354"/>
      <c r="L877" s="1347" t="s">
        <v>349</v>
      </c>
      <c r="M877" s="223">
        <f t="shared" ref="M877:M879" si="394">SUM(N877:P877)</f>
        <v>3.1788799999999999</v>
      </c>
      <c r="N877" s="224">
        <f t="shared" si="386"/>
        <v>3.1788799999999999</v>
      </c>
      <c r="O877" s="224">
        <f t="shared" si="387"/>
        <v>0</v>
      </c>
      <c r="P877" s="224">
        <f t="shared" si="388"/>
        <v>0</v>
      </c>
      <c r="Q877" s="292"/>
    </row>
    <row r="878" spans="1:17" hidden="1" outlineLevel="1">
      <c r="A878" s="271" t="s">
        <v>820</v>
      </c>
      <c r="B878" s="1346" t="s">
        <v>423</v>
      </c>
      <c r="C878" s="1332">
        <v>703</v>
      </c>
      <c r="D878" s="1317" t="s">
        <v>433</v>
      </c>
      <c r="E878" s="1347" t="s">
        <v>349</v>
      </c>
      <c r="F878" s="1313" t="s">
        <v>430</v>
      </c>
      <c r="G878" s="1349">
        <v>9.9339999999999998E-2</v>
      </c>
      <c r="H878" s="222">
        <f t="shared" si="383"/>
        <v>1700</v>
      </c>
      <c r="I878" s="1354">
        <v>1700</v>
      </c>
      <c r="J878" s="1354"/>
      <c r="K878" s="1354"/>
      <c r="L878" s="1347" t="s">
        <v>349</v>
      </c>
      <c r="M878" s="223">
        <f t="shared" si="394"/>
        <v>168.87799999999999</v>
      </c>
      <c r="N878" s="224">
        <f t="shared" si="386"/>
        <v>168.87799999999999</v>
      </c>
      <c r="O878" s="224">
        <f t="shared" si="387"/>
        <v>0</v>
      </c>
      <c r="P878" s="224">
        <f t="shared" si="388"/>
        <v>0</v>
      </c>
      <c r="Q878" s="292"/>
    </row>
    <row r="879" spans="1:17" hidden="1" outlineLevel="1">
      <c r="A879" s="211" t="s">
        <v>820</v>
      </c>
      <c r="B879" s="1346" t="s">
        <v>604</v>
      </c>
      <c r="C879" s="1332">
        <v>707</v>
      </c>
      <c r="D879" s="1317" t="s">
        <v>433</v>
      </c>
      <c r="E879" s="1347" t="s">
        <v>349</v>
      </c>
      <c r="F879" s="1313" t="s">
        <v>430</v>
      </c>
      <c r="G879" s="1349">
        <v>9.9339999999999998E-2</v>
      </c>
      <c r="H879" s="222">
        <f t="shared" si="383"/>
        <v>8288</v>
      </c>
      <c r="I879" s="1354">
        <v>8288</v>
      </c>
      <c r="J879" s="1354"/>
      <c r="K879" s="1354"/>
      <c r="L879" s="1347" t="s">
        <v>349</v>
      </c>
      <c r="M879" s="223">
        <f t="shared" si="394"/>
        <v>823.32992000000002</v>
      </c>
      <c r="N879" s="224">
        <f t="shared" si="386"/>
        <v>823.32992000000002</v>
      </c>
      <c r="O879" s="224">
        <f t="shared" si="387"/>
        <v>0</v>
      </c>
      <c r="P879" s="224">
        <f t="shared" si="388"/>
        <v>0</v>
      </c>
      <c r="Q879" s="292"/>
    </row>
    <row r="880" spans="1:17" hidden="1" outlineLevel="1">
      <c r="A880" s="211" t="s">
        <v>820</v>
      </c>
      <c r="B880" s="1356" t="s">
        <v>466</v>
      </c>
      <c r="C880" s="1334">
        <v>15025</v>
      </c>
      <c r="D880" s="1317" t="s">
        <v>433</v>
      </c>
      <c r="E880" s="1357" t="s">
        <v>349</v>
      </c>
      <c r="F880" s="1317" t="s">
        <v>430</v>
      </c>
      <c r="G880" s="1348">
        <v>9.9339999999999998E-2</v>
      </c>
      <c r="H880" s="222">
        <f t="shared" si="383"/>
        <v>927</v>
      </c>
      <c r="I880" s="1354">
        <v>927</v>
      </c>
      <c r="J880" s="1354"/>
      <c r="K880" s="1354"/>
      <c r="L880" s="1347" t="s">
        <v>349</v>
      </c>
      <c r="M880" s="223">
        <f t="shared" ref="M880:M882" si="395">SUM(N880:P880)</f>
        <v>92.088179999999994</v>
      </c>
      <c r="N880" s="224">
        <f t="shared" si="386"/>
        <v>92.088179999999994</v>
      </c>
      <c r="O880" s="224">
        <f t="shared" si="387"/>
        <v>0</v>
      </c>
      <c r="P880" s="224">
        <f t="shared" si="388"/>
        <v>0</v>
      </c>
      <c r="Q880" s="292"/>
    </row>
    <row r="881" spans="1:25" hidden="1" outlineLevel="1">
      <c r="A881" s="211" t="s">
        <v>820</v>
      </c>
      <c r="B881" s="1346" t="s">
        <v>659</v>
      </c>
      <c r="C881" s="1332">
        <v>51778</v>
      </c>
      <c r="D881" s="1317" t="s">
        <v>433</v>
      </c>
      <c r="E881" s="1347" t="s">
        <v>349</v>
      </c>
      <c r="F881" s="1313" t="s">
        <v>430</v>
      </c>
      <c r="G881" s="1349">
        <v>9.9339999999999998E-2</v>
      </c>
      <c r="H881" s="222">
        <f t="shared" si="383"/>
        <v>544</v>
      </c>
      <c r="I881" s="1354">
        <v>544</v>
      </c>
      <c r="J881" s="1354"/>
      <c r="K881" s="1354"/>
      <c r="L881" s="1347" t="s">
        <v>349</v>
      </c>
      <c r="M881" s="223">
        <f t="shared" si="395"/>
        <v>54.040959999999998</v>
      </c>
      <c r="N881" s="224">
        <f t="shared" si="386"/>
        <v>54.040959999999998</v>
      </c>
      <c r="O881" s="224">
        <f t="shared" si="387"/>
        <v>0</v>
      </c>
      <c r="P881" s="224">
        <f t="shared" si="388"/>
        <v>0</v>
      </c>
      <c r="Q881" s="292"/>
    </row>
    <row r="882" spans="1:25" ht="13.8" hidden="1" outlineLevel="1" thickBot="1">
      <c r="A882" s="225" t="s">
        <v>820</v>
      </c>
      <c r="B882" s="1350" t="s">
        <v>461</v>
      </c>
      <c r="C882" s="1336">
        <v>60447</v>
      </c>
      <c r="D882" s="1321" t="s">
        <v>433</v>
      </c>
      <c r="E882" s="1351" t="s">
        <v>349</v>
      </c>
      <c r="F882" s="1321" t="s">
        <v>430</v>
      </c>
      <c r="G882" s="1352">
        <v>9.9339999999999998E-2</v>
      </c>
      <c r="H882" s="226">
        <f t="shared" si="383"/>
        <v>20564</v>
      </c>
      <c r="I882" s="1355">
        <v>20564</v>
      </c>
      <c r="J882" s="1355"/>
      <c r="K882" s="1355"/>
      <c r="L882" s="1351" t="s">
        <v>349</v>
      </c>
      <c r="M882" s="233">
        <f t="shared" si="395"/>
        <v>2042.8277599999999</v>
      </c>
      <c r="N882" s="228">
        <f t="shared" si="386"/>
        <v>2042.8277599999999</v>
      </c>
      <c r="O882" s="228">
        <f t="shared" si="387"/>
        <v>0</v>
      </c>
      <c r="P882" s="228">
        <f t="shared" si="388"/>
        <v>0</v>
      </c>
      <c r="Q882" s="518"/>
      <c r="R882" s="512"/>
      <c r="S882" s="780"/>
    </row>
    <row r="883" spans="1:25" ht="13.8" collapsed="1" thickBot="1">
      <c r="A883" s="193" t="s">
        <v>814</v>
      </c>
      <c r="B883" s="212"/>
      <c r="C883" s="212"/>
      <c r="D883" s="212"/>
      <c r="E883" s="213"/>
      <c r="F883" s="214"/>
      <c r="G883" s="194"/>
      <c r="H883" s="779">
        <f>SUM(H755:H882)</f>
        <v>473602</v>
      </c>
      <c r="I883" s="231">
        <f>SUM(I755:I882)</f>
        <v>473597</v>
      </c>
      <c r="J883" s="231">
        <f>SUM(J755:J882)</f>
        <v>5</v>
      </c>
      <c r="K883" s="231">
        <f>SUM(K755:K882)</f>
        <v>0</v>
      </c>
      <c r="L883" s="231"/>
      <c r="M883" s="232">
        <f>SUM(M755:M882)</f>
        <v>48629.075849999979</v>
      </c>
      <c r="N883" s="241">
        <f>SUM(N755:N882)</f>
        <v>48626.738599999975</v>
      </c>
      <c r="O883" s="241">
        <f>SUM(O755:O882)</f>
        <v>2.33725</v>
      </c>
      <c r="P883" s="241">
        <f>SUM(P755:P882)</f>
        <v>0</v>
      </c>
      <c r="Q883" s="196"/>
    </row>
    <row r="884" spans="1:25">
      <c r="J884" s="1766" t="s">
        <v>1185</v>
      </c>
      <c r="K884" s="1766"/>
      <c r="L884" s="1766"/>
      <c r="M884" s="1766"/>
      <c r="N884" s="514">
        <f>'2. Kasumiaruanne'!L32</f>
        <v>48626.740000000005</v>
      </c>
      <c r="O884" s="514">
        <f>'2. Kasumiaruanne'!N32</f>
        <v>2.34</v>
      </c>
      <c r="Q884" s="205"/>
    </row>
    <row r="885" spans="1:25" ht="13.8" thickBot="1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516" t="s">
        <v>369</v>
      </c>
      <c r="N885" s="517">
        <f>N883-N884</f>
        <v>-1.4000000301166438E-3</v>
      </c>
      <c r="O885" s="517">
        <f>O883-O884</f>
        <v>-2.7499999999998082E-3</v>
      </c>
      <c r="P885" s="177"/>
      <c r="Q885" s="177"/>
    </row>
    <row r="886" spans="1:25">
      <c r="A886" s="1767">
        <v>2024</v>
      </c>
      <c r="B886" s="1783"/>
      <c r="C886" s="1783"/>
      <c r="D886" s="1783"/>
      <c r="E886" s="1783"/>
      <c r="F886" s="268"/>
      <c r="G886" s="268"/>
      <c r="H886" s="269"/>
      <c r="I886" s="268"/>
      <c r="J886" s="268"/>
      <c r="K886" s="268"/>
      <c r="L886" s="268"/>
      <c r="M886" s="268"/>
      <c r="N886" s="268"/>
      <c r="O886" s="268"/>
      <c r="P886" s="268"/>
      <c r="Q886" s="268"/>
    </row>
    <row r="887" spans="1:25" ht="13.8" customHeight="1" thickBot="1">
      <c r="A887" s="15" t="s">
        <v>1310</v>
      </c>
      <c r="B887" s="189"/>
      <c r="C887" s="189"/>
      <c r="D887" s="189"/>
      <c r="E887" s="189"/>
      <c r="F887" s="1486"/>
      <c r="G887" s="1486"/>
      <c r="H887" s="1486"/>
      <c r="I887" s="1592"/>
      <c r="J887" s="1592"/>
      <c r="K887" s="188"/>
      <c r="L887" s="188"/>
      <c r="M887" s="188"/>
      <c r="N887" s="188"/>
      <c r="O887" s="188"/>
      <c r="P887" s="188"/>
      <c r="Q887" s="188"/>
      <c r="S887" s="1763" t="s">
        <v>1270</v>
      </c>
      <c r="T887" s="1763"/>
      <c r="U887" s="1531">
        <f>'3. Üldiseloomustus'!G61</f>
        <v>343140.54927962355</v>
      </c>
      <c r="V887" s="1517" t="s">
        <v>1271</v>
      </c>
      <c r="W887" s="1761">
        <f>A886</f>
        <v>2024</v>
      </c>
      <c r="X887" s="1761"/>
      <c r="Y887" s="1761"/>
    </row>
    <row r="888" spans="1:25" hidden="1" outlineLevel="1">
      <c r="A888" s="771" t="s">
        <v>1038</v>
      </c>
      <c r="B888" s="1308" t="s">
        <v>434</v>
      </c>
      <c r="C888" s="1308" t="s">
        <v>435</v>
      </c>
      <c r="D888" s="1309" t="s">
        <v>427</v>
      </c>
      <c r="E888" s="1310">
        <v>1</v>
      </c>
      <c r="F888" s="1309" t="s">
        <v>868</v>
      </c>
      <c r="G888" s="1311">
        <v>1435</v>
      </c>
      <c r="H888" s="778">
        <f>SUM(I888:K888)</f>
        <v>7.2110999999999995E-2</v>
      </c>
      <c r="I888" s="1329">
        <v>7.2110999999999995E-2</v>
      </c>
      <c r="J888" s="1329"/>
      <c r="K888" s="1329"/>
      <c r="L888" s="1310">
        <v>0.5</v>
      </c>
      <c r="M888" s="772">
        <f>SUM(N888:P888)-Q888</f>
        <v>51.739642499999995</v>
      </c>
      <c r="N888" s="772">
        <f t="shared" ref="N888:N893" si="396">E888*G888*I888*L888</f>
        <v>51.739642499999995</v>
      </c>
      <c r="O888" s="773">
        <f t="shared" ref="O888:O893" si="397">E888*G888*J888*L888*10</f>
        <v>0</v>
      </c>
      <c r="P888" s="773">
        <f>E888*G888*K888*L888*15</f>
        <v>0</v>
      </c>
      <c r="Q888" s="1339">
        <v>0</v>
      </c>
      <c r="R888" s="774"/>
      <c r="S888" s="1758" t="s">
        <v>1272</v>
      </c>
      <c r="T888" s="1758"/>
      <c r="U888" s="1538">
        <f>H888+H898+H902+H906+H912+H918+H923+H928+H939+H944+H948+H954+H960+H965+H970+H980+H984+H988+H994+H1000+H1005+H1010+H1020+H1024+H1028+H1034+H1040+H1045</f>
        <v>0.58165899999999993</v>
      </c>
      <c r="V888" s="1519" t="s">
        <v>1273</v>
      </c>
      <c r="W888" s="1520" t="s">
        <v>1274</v>
      </c>
      <c r="X888" s="1552">
        <f>U888*1000000/U887</f>
        <v>1.6951042400005276</v>
      </c>
      <c r="Y888" s="1522" t="s">
        <v>1275</v>
      </c>
    </row>
    <row r="889" spans="1:25" hidden="1" outlineLevel="1">
      <c r="A889" s="190" t="s">
        <v>1038</v>
      </c>
      <c r="B889" s="1312" t="s">
        <v>434</v>
      </c>
      <c r="C889" s="1312" t="s">
        <v>435</v>
      </c>
      <c r="D889" s="1313" t="s">
        <v>427</v>
      </c>
      <c r="E889" s="1314">
        <v>1</v>
      </c>
      <c r="F889" s="1319" t="s">
        <v>441</v>
      </c>
      <c r="G889" s="1315">
        <v>552.89</v>
      </c>
      <c r="H889" s="237">
        <f t="shared" ref="H889:H890" si="398">SUM(I889:K889)</f>
        <v>8.8751999999999998E-2</v>
      </c>
      <c r="I889" s="1331">
        <v>8.8751999999999998E-2</v>
      </c>
      <c r="J889" s="1331"/>
      <c r="K889" s="1331"/>
      <c r="L889" s="1314">
        <v>0.5</v>
      </c>
      <c r="M889" s="223">
        <f t="shared" ref="M889:M890" si="399">SUM(N889:P889)-Q889</f>
        <v>24.535046639999997</v>
      </c>
      <c r="N889" s="223">
        <f t="shared" si="396"/>
        <v>24.535046639999997</v>
      </c>
      <c r="O889" s="224">
        <f t="shared" si="397"/>
        <v>0</v>
      </c>
      <c r="P889" s="224">
        <f t="shared" ref="P889:P890" si="400">E889*G889*K889*L889*15</f>
        <v>0</v>
      </c>
      <c r="Q889" s="1340">
        <v>0</v>
      </c>
      <c r="S889" s="1758" t="s">
        <v>871</v>
      </c>
      <c r="T889" s="1758"/>
      <c r="U889" s="1539">
        <f>H940</f>
        <v>0</v>
      </c>
      <c r="V889" s="1519" t="s">
        <v>1273</v>
      </c>
      <c r="W889" s="1520" t="s">
        <v>1274</v>
      </c>
      <c r="X889" s="1541">
        <f>U889*1000000/U887</f>
        <v>0</v>
      </c>
      <c r="Y889" s="1522" t="s">
        <v>1275</v>
      </c>
    </row>
    <row r="890" spans="1:25" hidden="1" outlineLevel="1">
      <c r="A890" s="190" t="s">
        <v>1038</v>
      </c>
      <c r="B890" s="1316" t="s">
        <v>434</v>
      </c>
      <c r="C890" s="1316" t="s">
        <v>435</v>
      </c>
      <c r="D890" s="1313" t="s">
        <v>427</v>
      </c>
      <c r="E890" s="1318">
        <v>1</v>
      </c>
      <c r="F890" s="1319" t="s">
        <v>442</v>
      </c>
      <c r="G890" s="1315">
        <v>4582</v>
      </c>
      <c r="H890" s="238">
        <f t="shared" si="398"/>
        <v>3.8830000000000002E-3</v>
      </c>
      <c r="I890" s="1333">
        <v>3.8830000000000002E-3</v>
      </c>
      <c r="J890" s="1333"/>
      <c r="K890" s="1333"/>
      <c r="L890" s="1318">
        <v>0.5</v>
      </c>
      <c r="M890" s="233">
        <f t="shared" si="399"/>
        <v>8.8959530000000004</v>
      </c>
      <c r="N890" s="233">
        <f t="shared" si="396"/>
        <v>8.8959530000000004</v>
      </c>
      <c r="O890" s="234">
        <f t="shared" si="397"/>
        <v>0</v>
      </c>
      <c r="P890" s="234">
        <f t="shared" si="400"/>
        <v>0</v>
      </c>
      <c r="Q890" s="1341">
        <v>0</v>
      </c>
      <c r="S890" s="1758" t="s">
        <v>1276</v>
      </c>
      <c r="T890" s="1758"/>
      <c r="U890" s="1538">
        <f>H889+H895+H896+H897+H899+H903+H907+H913+H919+H924+H929+H934+H936+H937+H938+H941+H945+H949+H955+H961+H966+H971+H977+H978+H979+H981+H985+H989+H995+H1001+H1006+H1011+H1017+H1018+H1019+H1021+H1025+H1029+H1035+H1041+H1046</f>
        <v>3.0270279999999996</v>
      </c>
      <c r="V890" s="1519" t="s">
        <v>1273</v>
      </c>
      <c r="W890" s="1520" t="s">
        <v>1274</v>
      </c>
      <c r="X890" s="1552">
        <f>U890*1000000/U887</f>
        <v>8.8215397636765136</v>
      </c>
      <c r="Y890" s="1522" t="s">
        <v>1275</v>
      </c>
    </row>
    <row r="891" spans="1:25" hidden="1" outlineLevel="1">
      <c r="A891" s="190" t="s">
        <v>1038</v>
      </c>
      <c r="B891" s="1316" t="s">
        <v>434</v>
      </c>
      <c r="C891" s="1316" t="s">
        <v>435</v>
      </c>
      <c r="D891" s="1317" t="s">
        <v>427</v>
      </c>
      <c r="E891" s="1318">
        <v>1</v>
      </c>
      <c r="F891" s="1319" t="s">
        <v>443</v>
      </c>
      <c r="G891" s="1315">
        <v>2826</v>
      </c>
      <c r="H891" s="238">
        <f>SUM(I891:K891)</f>
        <v>0.105393</v>
      </c>
      <c r="I891" s="1333">
        <v>0.105393</v>
      </c>
      <c r="J891" s="1333"/>
      <c r="K891" s="1333"/>
      <c r="L891" s="1318">
        <v>0.5</v>
      </c>
      <c r="M891" s="233">
        <f>SUM(N891:P891)-Q891</f>
        <v>148.920309</v>
      </c>
      <c r="N891" s="233">
        <f t="shared" si="396"/>
        <v>148.920309</v>
      </c>
      <c r="O891" s="234">
        <f t="shared" si="397"/>
        <v>0</v>
      </c>
      <c r="P891" s="234">
        <f>E891*G891*K891*L891*15</f>
        <v>0</v>
      </c>
      <c r="Q891" s="1341">
        <v>0</v>
      </c>
      <c r="S891" s="1758" t="s">
        <v>1279</v>
      </c>
      <c r="T891" s="1758"/>
      <c r="U891" s="1538">
        <f>H890+H894+H908+H914+H920+H925+H930+H935+H950+H956+H962+H967+H972+H976+H990+H996+H1002+H1007+H1012+H1016+H1030+H1036+H1042+H1047</f>
        <v>5.0450000000000009E-2</v>
      </c>
      <c r="V891" s="1519" t="s">
        <v>1273</v>
      </c>
      <c r="W891" s="1520" t="s">
        <v>1274</v>
      </c>
      <c r="X891" s="1552">
        <f>U891*1000000/U887</f>
        <v>0.14702430274099884</v>
      </c>
      <c r="Y891" s="1522" t="s">
        <v>1275</v>
      </c>
    </row>
    <row r="892" spans="1:25" hidden="1" outlineLevel="1">
      <c r="A892" s="190" t="s">
        <v>1038</v>
      </c>
      <c r="B892" s="1316" t="s">
        <v>434</v>
      </c>
      <c r="C892" s="1316" t="s">
        <v>435</v>
      </c>
      <c r="D892" s="1317" t="s">
        <v>427</v>
      </c>
      <c r="E892" s="1318">
        <v>1</v>
      </c>
      <c r="F892" s="1317" t="s">
        <v>444</v>
      </c>
      <c r="G892" s="1315">
        <v>12014</v>
      </c>
      <c r="H892" s="238">
        <f>SUM(I892:K892)</f>
        <v>1.1094E-2</v>
      </c>
      <c r="I892" s="1333">
        <v>1.1094E-2</v>
      </c>
      <c r="J892" s="1333"/>
      <c r="K892" s="1333"/>
      <c r="L892" s="1318">
        <v>0.5</v>
      </c>
      <c r="M892" s="233">
        <f>SUM(N892:P892)-Q892</f>
        <v>66.641657999999993</v>
      </c>
      <c r="N892" s="233">
        <f t="shared" si="396"/>
        <v>66.641657999999993</v>
      </c>
      <c r="O892" s="234">
        <f t="shared" si="397"/>
        <v>0</v>
      </c>
      <c r="P892" s="234">
        <f>E892*G892*K892*L892*15</f>
        <v>0</v>
      </c>
      <c r="Q892" s="1341">
        <v>0</v>
      </c>
      <c r="S892" s="1758" t="s">
        <v>1278</v>
      </c>
      <c r="T892" s="1758"/>
      <c r="U892" s="1538">
        <f>H891+H900+H904+H909+H915+H921+H926+H931+H942+H946+H951+H957+H963+H968+H973+H982+H986+H991+H997+H1003+H1008+H1013+H1022+H1026+H1031+H1037+H1043+H1048</f>
        <v>1.1265339999999999</v>
      </c>
      <c r="V892" s="1519" t="s">
        <v>1273</v>
      </c>
      <c r="W892" s="1520" t="s">
        <v>1274</v>
      </c>
      <c r="X892" s="1552">
        <f>U892*1000000/U887</f>
        <v>3.2830104234693436</v>
      </c>
      <c r="Y892" s="1522" t="s">
        <v>1275</v>
      </c>
    </row>
    <row r="893" spans="1:25" hidden="1" outlineLevel="1">
      <c r="A893" s="190" t="s">
        <v>1038</v>
      </c>
      <c r="B893" s="1320" t="s">
        <v>434</v>
      </c>
      <c r="C893" s="1320" t="s">
        <v>435</v>
      </c>
      <c r="D893" s="1321" t="s">
        <v>427</v>
      </c>
      <c r="E893" s="1322">
        <v>1</v>
      </c>
      <c r="F893" s="1324" t="s">
        <v>445</v>
      </c>
      <c r="G893" s="1323">
        <v>24326</v>
      </c>
      <c r="H893" s="239">
        <f t="shared" ref="H893:H900" si="401">SUM(I893:K893)</f>
        <v>2.8E-5</v>
      </c>
      <c r="I893" s="1335">
        <v>2.8E-5</v>
      </c>
      <c r="J893" s="1335"/>
      <c r="K893" s="1335"/>
      <c r="L893" s="1322">
        <v>0.5</v>
      </c>
      <c r="M893" s="227">
        <f t="shared" ref="M893" si="402">SUM(N893:P893)-Q893</f>
        <v>0.34056399999999998</v>
      </c>
      <c r="N893" s="227">
        <f t="shared" si="396"/>
        <v>0.34056399999999998</v>
      </c>
      <c r="O893" s="228">
        <f t="shared" si="397"/>
        <v>0</v>
      </c>
      <c r="P893" s="228">
        <f t="shared" ref="P893" si="403">E893*G893*K893*L893*15</f>
        <v>0</v>
      </c>
      <c r="Q893" s="1342">
        <v>0</v>
      </c>
      <c r="S893" s="1758" t="s">
        <v>1277</v>
      </c>
      <c r="T893" s="1758"/>
      <c r="U893" s="1538">
        <f>H892+H901+H905+H910+H916+H922+H927+H932+H943+H947+H952+H958+H964+H969+H974+H983+H987+H992+H998+H1004+H1009+H1014+H1023+H1027+H1032+H1038+H1044+H1049</f>
        <v>0.16044700000000001</v>
      </c>
      <c r="V893" s="1519" t="s">
        <v>1273</v>
      </c>
      <c r="W893" s="1520" t="s">
        <v>1274</v>
      </c>
      <c r="X893" s="1552">
        <f>U893*1000000/U887</f>
        <v>0.46758391084013951</v>
      </c>
      <c r="Y893" s="1522" t="s">
        <v>1275</v>
      </c>
    </row>
    <row r="894" spans="1:25" hidden="1" outlineLevel="1">
      <c r="A894" s="190" t="s">
        <v>1038</v>
      </c>
      <c r="B894" s="1320" t="s">
        <v>869</v>
      </c>
      <c r="C894" s="1320" t="s">
        <v>870</v>
      </c>
      <c r="D894" s="1321" t="s">
        <v>427</v>
      </c>
      <c r="E894" s="1322">
        <v>1</v>
      </c>
      <c r="F894" s="1324" t="s">
        <v>442</v>
      </c>
      <c r="G894" s="1328">
        <v>4582</v>
      </c>
      <c r="H894" s="239">
        <f t="shared" si="401"/>
        <v>1.5630999999999999E-2</v>
      </c>
      <c r="I894" s="1335">
        <v>1.1665E-2</v>
      </c>
      <c r="J894" s="1335">
        <v>3.9659999999999999E-3</v>
      </c>
      <c r="K894" s="1335"/>
      <c r="L894" s="1322">
        <v>1</v>
      </c>
      <c r="M894" s="520">
        <f t="shared" ref="M894:M897" si="404">SUM(N894:P894)-Q894</f>
        <v>18.172211999999998</v>
      </c>
      <c r="N894" s="521">
        <v>0</v>
      </c>
      <c r="O894" s="522">
        <f t="shared" ref="O894:O897" si="405">E894*G894*J894</f>
        <v>18.172211999999998</v>
      </c>
      <c r="P894" s="522"/>
      <c r="Q894" s="1342">
        <v>0</v>
      </c>
      <c r="S894" s="1759" t="s">
        <v>1280</v>
      </c>
      <c r="T894" s="1759"/>
      <c r="U894" s="1540">
        <f>H893+H911+H917+H933+H953+H959+H975+H993+H999+H1015+H1033+H1039</f>
        <v>6.1400000000000007E-4</v>
      </c>
      <c r="V894" s="1525" t="s">
        <v>1273</v>
      </c>
      <c r="W894" s="1526" t="s">
        <v>1274</v>
      </c>
      <c r="X894" s="1553">
        <f>U894*1000000/U887</f>
        <v>1.7893542494147334E-3</v>
      </c>
      <c r="Y894" s="1527" t="s">
        <v>1275</v>
      </c>
    </row>
    <row r="895" spans="1:25" hidden="1" outlineLevel="1">
      <c r="A895" s="190" t="s">
        <v>1038</v>
      </c>
      <c r="B895" s="1320" t="s">
        <v>1301</v>
      </c>
      <c r="C895" s="1320" t="s">
        <v>867</v>
      </c>
      <c r="D895" s="1321" t="s">
        <v>427</v>
      </c>
      <c r="E895" s="1322">
        <v>1.5</v>
      </c>
      <c r="F895" s="1324" t="s">
        <v>441</v>
      </c>
      <c r="G895" s="1323">
        <v>552.89</v>
      </c>
      <c r="H895" s="239">
        <f t="shared" si="401"/>
        <v>0</v>
      </c>
      <c r="I895" s="1335"/>
      <c r="J895" s="1335"/>
      <c r="K895" s="1335"/>
      <c r="L895" s="1322">
        <v>0.5</v>
      </c>
      <c r="M895" s="520">
        <f t="shared" si="404"/>
        <v>0</v>
      </c>
      <c r="N895" s="521">
        <v>0</v>
      </c>
      <c r="O895" s="522">
        <f t="shared" si="405"/>
        <v>0</v>
      </c>
      <c r="P895" s="522"/>
      <c r="Q895" s="1342">
        <v>0</v>
      </c>
      <c r="T895" s="1529" t="s">
        <v>1104</v>
      </c>
      <c r="U895" s="1530">
        <f>SUM(U888:U894)-H1050</f>
        <v>0</v>
      </c>
    </row>
    <row r="896" spans="1:25" hidden="1" outlineLevel="1">
      <c r="A896" s="190" t="s">
        <v>1038</v>
      </c>
      <c r="B896" s="1325" t="s">
        <v>620</v>
      </c>
      <c r="C896" s="1325" t="s">
        <v>621</v>
      </c>
      <c r="D896" s="1321" t="s">
        <v>427</v>
      </c>
      <c r="E896" s="1327">
        <v>1</v>
      </c>
      <c r="F896" s="1324" t="s">
        <v>441</v>
      </c>
      <c r="G896" s="1323">
        <v>580.53</v>
      </c>
      <c r="H896" s="239">
        <f t="shared" ref="H896:H897" si="406">SUM(I896:K896)</f>
        <v>0</v>
      </c>
      <c r="I896" s="1338"/>
      <c r="J896" s="1338"/>
      <c r="K896" s="1338"/>
      <c r="L896" s="1322">
        <v>0.5</v>
      </c>
      <c r="M896" s="520">
        <f t="shared" si="404"/>
        <v>0</v>
      </c>
      <c r="N896" s="521">
        <v>0</v>
      </c>
      <c r="O896" s="522">
        <f t="shared" si="405"/>
        <v>0</v>
      </c>
      <c r="P896" s="522"/>
      <c r="Q896" s="1342">
        <v>0</v>
      </c>
    </row>
    <row r="897" spans="1:17" hidden="1" outlineLevel="1">
      <c r="A897" s="190" t="s">
        <v>1038</v>
      </c>
      <c r="B897" s="1325" t="s">
        <v>622</v>
      </c>
      <c r="C897" s="1325" t="s">
        <v>619</v>
      </c>
      <c r="D897" s="1321" t="s">
        <v>427</v>
      </c>
      <c r="E897" s="1327">
        <v>1</v>
      </c>
      <c r="F897" s="1324" t="s">
        <v>441</v>
      </c>
      <c r="G897" s="1323">
        <v>580.53</v>
      </c>
      <c r="H897" s="239">
        <f t="shared" si="406"/>
        <v>0</v>
      </c>
      <c r="I897" s="1338"/>
      <c r="J897" s="1338"/>
      <c r="K897" s="1338"/>
      <c r="L897" s="1322">
        <v>0.5</v>
      </c>
      <c r="M897" s="520">
        <f t="shared" si="404"/>
        <v>0</v>
      </c>
      <c r="N897" s="521">
        <v>0</v>
      </c>
      <c r="O897" s="522">
        <f t="shared" si="405"/>
        <v>0</v>
      </c>
      <c r="P897" s="522"/>
      <c r="Q897" s="1342">
        <v>0</v>
      </c>
    </row>
    <row r="898" spans="1:17" hidden="1" outlineLevel="1">
      <c r="A898" s="190" t="s">
        <v>1038</v>
      </c>
      <c r="B898" s="1316" t="s">
        <v>436</v>
      </c>
      <c r="C898" s="1316" t="s">
        <v>591</v>
      </c>
      <c r="D898" s="1317" t="s">
        <v>427</v>
      </c>
      <c r="E898" s="1318">
        <v>1</v>
      </c>
      <c r="F898" s="1317" t="s">
        <v>868</v>
      </c>
      <c r="G898" s="1315">
        <v>1435</v>
      </c>
      <c r="H898" s="238">
        <f t="shared" si="401"/>
        <v>0</v>
      </c>
      <c r="I898" s="1333"/>
      <c r="J898" s="1333"/>
      <c r="K898" s="1333"/>
      <c r="L898" s="1318">
        <v>0.5</v>
      </c>
      <c r="M898" s="233">
        <f t="shared" ref="M898:M900" si="407">SUM(N898:P898)-Q898</f>
        <v>0</v>
      </c>
      <c r="N898" s="233">
        <f t="shared" ref="N898:N933" si="408">E898*G898*I898*L898</f>
        <v>0</v>
      </c>
      <c r="O898" s="234">
        <f t="shared" ref="O898:O933" si="409">E898*G898*J898*L898*10</f>
        <v>0</v>
      </c>
      <c r="P898" s="234">
        <f t="shared" ref="P898:P905" si="410">E898*G898*K898*L898*15</f>
        <v>0</v>
      </c>
      <c r="Q898" s="1341">
        <v>0</v>
      </c>
    </row>
    <row r="899" spans="1:17" hidden="1" outlineLevel="1">
      <c r="A899" s="190" t="s">
        <v>1038</v>
      </c>
      <c r="B899" s="1316" t="s">
        <v>436</v>
      </c>
      <c r="C899" s="1316" t="s">
        <v>591</v>
      </c>
      <c r="D899" s="1317" t="s">
        <v>427</v>
      </c>
      <c r="E899" s="1318">
        <v>1</v>
      </c>
      <c r="F899" s="1319" t="s">
        <v>441</v>
      </c>
      <c r="G899" s="1315">
        <v>552.89</v>
      </c>
      <c r="H899" s="238">
        <f t="shared" si="401"/>
        <v>0</v>
      </c>
      <c r="I899" s="1333"/>
      <c r="J899" s="1333"/>
      <c r="K899" s="1333"/>
      <c r="L899" s="1318">
        <v>0.5</v>
      </c>
      <c r="M899" s="233">
        <f t="shared" si="407"/>
        <v>0</v>
      </c>
      <c r="N899" s="233">
        <f t="shared" si="408"/>
        <v>0</v>
      </c>
      <c r="O899" s="234">
        <f t="shared" si="409"/>
        <v>0</v>
      </c>
      <c r="P899" s="234">
        <f t="shared" si="410"/>
        <v>0</v>
      </c>
      <c r="Q899" s="1341">
        <v>0</v>
      </c>
    </row>
    <row r="900" spans="1:17" hidden="1" outlineLevel="1">
      <c r="A900" s="190" t="s">
        <v>1038</v>
      </c>
      <c r="B900" s="1316" t="s">
        <v>436</v>
      </c>
      <c r="C900" s="1316" t="s">
        <v>591</v>
      </c>
      <c r="D900" s="1317" t="s">
        <v>427</v>
      </c>
      <c r="E900" s="1318">
        <v>1</v>
      </c>
      <c r="F900" s="1319" t="s">
        <v>443</v>
      </c>
      <c r="G900" s="1315">
        <v>2826</v>
      </c>
      <c r="H900" s="238">
        <f t="shared" si="401"/>
        <v>0</v>
      </c>
      <c r="I900" s="1333"/>
      <c r="J900" s="1333"/>
      <c r="K900" s="1333"/>
      <c r="L900" s="1318">
        <v>0.5</v>
      </c>
      <c r="M900" s="233">
        <f t="shared" si="407"/>
        <v>0</v>
      </c>
      <c r="N900" s="233">
        <f t="shared" si="408"/>
        <v>0</v>
      </c>
      <c r="O900" s="234">
        <f t="shared" si="409"/>
        <v>0</v>
      </c>
      <c r="P900" s="234">
        <f t="shared" si="410"/>
        <v>0</v>
      </c>
      <c r="Q900" s="1341">
        <v>0</v>
      </c>
    </row>
    <row r="901" spans="1:17" hidden="1" outlineLevel="1">
      <c r="A901" s="190" t="s">
        <v>1038</v>
      </c>
      <c r="B901" s="1320" t="s">
        <v>436</v>
      </c>
      <c r="C901" s="1320" t="s">
        <v>591</v>
      </c>
      <c r="D901" s="1321" t="s">
        <v>427</v>
      </c>
      <c r="E901" s="1322">
        <v>1</v>
      </c>
      <c r="F901" s="1324" t="s">
        <v>444</v>
      </c>
      <c r="G901" s="1323">
        <v>12014</v>
      </c>
      <c r="H901" s="239">
        <f t="shared" ref="H901:H905" si="411">SUM(I901:K901)</f>
        <v>0</v>
      </c>
      <c r="I901" s="1335"/>
      <c r="J901" s="1335"/>
      <c r="K901" s="1335"/>
      <c r="L901" s="1322">
        <v>0.5</v>
      </c>
      <c r="M901" s="227">
        <f t="shared" ref="M901:M905" si="412">SUM(N901:P901)-Q901</f>
        <v>0</v>
      </c>
      <c r="N901" s="227">
        <f t="shared" si="408"/>
        <v>0</v>
      </c>
      <c r="O901" s="228">
        <f t="shared" si="409"/>
        <v>0</v>
      </c>
      <c r="P901" s="228">
        <f t="shared" si="410"/>
        <v>0</v>
      </c>
      <c r="Q901" s="1342">
        <v>0</v>
      </c>
    </row>
    <row r="902" spans="1:17" hidden="1" outlineLevel="1">
      <c r="A902" s="190" t="s">
        <v>1038</v>
      </c>
      <c r="B902" s="1316" t="s">
        <v>437</v>
      </c>
      <c r="C902" s="1316" t="s">
        <v>592</v>
      </c>
      <c r="D902" s="1317" t="s">
        <v>427</v>
      </c>
      <c r="E902" s="1318">
        <v>1</v>
      </c>
      <c r="F902" s="1317" t="s">
        <v>868</v>
      </c>
      <c r="G902" s="1315">
        <v>1435</v>
      </c>
      <c r="H902" s="238">
        <f t="shared" si="411"/>
        <v>4.55E-4</v>
      </c>
      <c r="I902" s="1333">
        <v>4.55E-4</v>
      </c>
      <c r="J902" s="1333"/>
      <c r="K902" s="1333"/>
      <c r="L902" s="1318">
        <v>0.5</v>
      </c>
      <c r="M902" s="233">
        <f t="shared" si="412"/>
        <v>0.32646249999999999</v>
      </c>
      <c r="N902" s="233">
        <f t="shared" si="408"/>
        <v>0.32646249999999999</v>
      </c>
      <c r="O902" s="234">
        <f t="shared" si="409"/>
        <v>0</v>
      </c>
      <c r="P902" s="234">
        <f t="shared" si="410"/>
        <v>0</v>
      </c>
      <c r="Q902" s="1341">
        <v>0</v>
      </c>
    </row>
    <row r="903" spans="1:17" hidden="1" outlineLevel="1">
      <c r="A903" s="190" t="s">
        <v>1038</v>
      </c>
      <c r="B903" s="1316" t="s">
        <v>437</v>
      </c>
      <c r="C903" s="1316" t="s">
        <v>592</v>
      </c>
      <c r="D903" s="1317" t="s">
        <v>427</v>
      </c>
      <c r="E903" s="1318">
        <v>1</v>
      </c>
      <c r="F903" s="1319" t="s">
        <v>441</v>
      </c>
      <c r="G903" s="1315">
        <v>552.89</v>
      </c>
      <c r="H903" s="238">
        <f t="shared" si="411"/>
        <v>8.4000000000000003E-4</v>
      </c>
      <c r="I903" s="1333">
        <v>8.4000000000000003E-4</v>
      </c>
      <c r="J903" s="1333"/>
      <c r="K903" s="1333"/>
      <c r="L903" s="1318">
        <v>0.5</v>
      </c>
      <c r="M903" s="233">
        <f t="shared" si="412"/>
        <v>0.2322138</v>
      </c>
      <c r="N903" s="233">
        <f t="shared" si="408"/>
        <v>0.2322138</v>
      </c>
      <c r="O903" s="234">
        <f t="shared" si="409"/>
        <v>0</v>
      </c>
      <c r="P903" s="234">
        <f t="shared" si="410"/>
        <v>0</v>
      </c>
      <c r="Q903" s="1341">
        <v>0</v>
      </c>
    </row>
    <row r="904" spans="1:17" hidden="1" outlineLevel="1">
      <c r="A904" s="190" t="s">
        <v>1038</v>
      </c>
      <c r="B904" s="1316" t="s">
        <v>437</v>
      </c>
      <c r="C904" s="1316" t="s">
        <v>592</v>
      </c>
      <c r="D904" s="1317" t="s">
        <v>427</v>
      </c>
      <c r="E904" s="1318">
        <v>1</v>
      </c>
      <c r="F904" s="1319" t="s">
        <v>443</v>
      </c>
      <c r="G904" s="1315">
        <v>2826</v>
      </c>
      <c r="H904" s="238">
        <f t="shared" si="411"/>
        <v>9.1E-4</v>
      </c>
      <c r="I904" s="1333">
        <v>9.1E-4</v>
      </c>
      <c r="J904" s="1333"/>
      <c r="K904" s="1333"/>
      <c r="L904" s="1318">
        <v>0.5</v>
      </c>
      <c r="M904" s="233">
        <f t="shared" si="412"/>
        <v>1.28583</v>
      </c>
      <c r="N904" s="233">
        <f t="shared" si="408"/>
        <v>1.28583</v>
      </c>
      <c r="O904" s="234">
        <f t="shared" si="409"/>
        <v>0</v>
      </c>
      <c r="P904" s="234">
        <f t="shared" si="410"/>
        <v>0</v>
      </c>
      <c r="Q904" s="1341">
        <v>0</v>
      </c>
    </row>
    <row r="905" spans="1:17" hidden="1" outlineLevel="1">
      <c r="A905" s="190" t="s">
        <v>1038</v>
      </c>
      <c r="B905" s="1320" t="s">
        <v>437</v>
      </c>
      <c r="C905" s="1320" t="s">
        <v>592</v>
      </c>
      <c r="D905" s="1321" t="s">
        <v>427</v>
      </c>
      <c r="E905" s="1322">
        <v>1</v>
      </c>
      <c r="F905" s="1324" t="s">
        <v>444</v>
      </c>
      <c r="G905" s="1323">
        <v>12014</v>
      </c>
      <c r="H905" s="239">
        <f t="shared" si="411"/>
        <v>1.6100000000000001E-4</v>
      </c>
      <c r="I905" s="1335">
        <v>1.6100000000000001E-4</v>
      </c>
      <c r="J905" s="1335"/>
      <c r="K905" s="1335"/>
      <c r="L905" s="1322">
        <v>0.5</v>
      </c>
      <c r="M905" s="227">
        <f t="shared" si="412"/>
        <v>0.96712700000000007</v>
      </c>
      <c r="N905" s="227">
        <f t="shared" si="408"/>
        <v>0.96712700000000007</v>
      </c>
      <c r="O905" s="228">
        <f t="shared" si="409"/>
        <v>0</v>
      </c>
      <c r="P905" s="228">
        <f t="shared" si="410"/>
        <v>0</v>
      </c>
      <c r="Q905" s="1342">
        <v>0</v>
      </c>
    </row>
    <row r="906" spans="1:17" hidden="1" outlineLevel="1">
      <c r="A906" s="190" t="s">
        <v>1038</v>
      </c>
      <c r="B906" s="1316" t="s">
        <v>438</v>
      </c>
      <c r="C906" s="1316" t="s">
        <v>593</v>
      </c>
      <c r="D906" s="1317" t="s">
        <v>427</v>
      </c>
      <c r="E906" s="1318">
        <v>1</v>
      </c>
      <c r="F906" s="1319" t="s">
        <v>868</v>
      </c>
      <c r="G906" s="1315">
        <v>1435</v>
      </c>
      <c r="H906" s="238">
        <f>SUM(I906:K906)</f>
        <v>1.129E-3</v>
      </c>
      <c r="I906" s="1333">
        <v>1.129E-3</v>
      </c>
      <c r="J906" s="1333"/>
      <c r="K906" s="1333"/>
      <c r="L906" s="1318">
        <v>1</v>
      </c>
      <c r="M906" s="233">
        <f>SUM(N906:P906)-Q906</f>
        <v>1.620115</v>
      </c>
      <c r="N906" s="233">
        <f t="shared" si="408"/>
        <v>1.620115</v>
      </c>
      <c r="O906" s="234">
        <f t="shared" si="409"/>
        <v>0</v>
      </c>
      <c r="P906" s="234">
        <f>E906*G906*K906*L906*15</f>
        <v>0</v>
      </c>
      <c r="Q906" s="1341">
        <v>0</v>
      </c>
    </row>
    <row r="907" spans="1:17" hidden="1" outlineLevel="1">
      <c r="A907" s="190" t="s">
        <v>1038</v>
      </c>
      <c r="B907" s="1316" t="s">
        <v>438</v>
      </c>
      <c r="C907" s="1316" t="s">
        <v>593</v>
      </c>
      <c r="D907" s="1317" t="s">
        <v>427</v>
      </c>
      <c r="E907" s="1318">
        <v>1</v>
      </c>
      <c r="F907" s="1319" t="s">
        <v>441</v>
      </c>
      <c r="G907" s="1315">
        <v>552.89</v>
      </c>
      <c r="H907" s="238">
        <f t="shared" ref="H907" si="413">SUM(I907:K907)</f>
        <v>1.1130000000000001E-3</v>
      </c>
      <c r="I907" s="1333">
        <v>1.1130000000000001E-3</v>
      </c>
      <c r="J907" s="1333"/>
      <c r="K907" s="1333"/>
      <c r="L907" s="1318">
        <v>1</v>
      </c>
      <c r="M907" s="233">
        <f t="shared" ref="M907" si="414">SUM(N907:P907)-Q907</f>
        <v>0.61536657000000006</v>
      </c>
      <c r="N907" s="233">
        <f t="shared" si="408"/>
        <v>0.61536657000000006</v>
      </c>
      <c r="O907" s="234">
        <f t="shared" si="409"/>
        <v>0</v>
      </c>
      <c r="P907" s="234">
        <f t="shared" ref="P907:P927" si="415">E907*G907*K907*L907*15</f>
        <v>0</v>
      </c>
      <c r="Q907" s="1341">
        <v>0</v>
      </c>
    </row>
    <row r="908" spans="1:17" hidden="1" outlineLevel="1">
      <c r="A908" s="190" t="s">
        <v>1038</v>
      </c>
      <c r="B908" s="1316" t="s">
        <v>438</v>
      </c>
      <c r="C908" s="1316" t="s">
        <v>593</v>
      </c>
      <c r="D908" s="1317" t="s">
        <v>427</v>
      </c>
      <c r="E908" s="1318">
        <v>1</v>
      </c>
      <c r="F908" s="1319" t="s">
        <v>442</v>
      </c>
      <c r="G908" s="1315">
        <v>4582</v>
      </c>
      <c r="H908" s="238">
        <f t="shared" ref="H908:H918" si="416">SUM(I908:K908)</f>
        <v>9.5000000000000005E-5</v>
      </c>
      <c r="I908" s="1333">
        <v>9.5000000000000005E-5</v>
      </c>
      <c r="J908" s="1333"/>
      <c r="K908" s="1333"/>
      <c r="L908" s="1318">
        <v>1</v>
      </c>
      <c r="M908" s="233">
        <f t="shared" ref="M908:M918" si="417">SUM(N908:P908)-Q908</f>
        <v>0.43529000000000001</v>
      </c>
      <c r="N908" s="233">
        <f t="shared" si="408"/>
        <v>0.43529000000000001</v>
      </c>
      <c r="O908" s="234">
        <f t="shared" si="409"/>
        <v>0</v>
      </c>
      <c r="P908" s="234">
        <f t="shared" si="415"/>
        <v>0</v>
      </c>
      <c r="Q908" s="1341">
        <v>0</v>
      </c>
    </row>
    <row r="909" spans="1:17" hidden="1" outlineLevel="1">
      <c r="A909" s="190" t="s">
        <v>1038</v>
      </c>
      <c r="B909" s="1316" t="s">
        <v>438</v>
      </c>
      <c r="C909" s="1316" t="s">
        <v>593</v>
      </c>
      <c r="D909" s="1317" t="s">
        <v>427</v>
      </c>
      <c r="E909" s="1318">
        <v>1</v>
      </c>
      <c r="F909" s="1319" t="s">
        <v>443</v>
      </c>
      <c r="G909" s="1315">
        <v>2826</v>
      </c>
      <c r="H909" s="238">
        <f t="shared" si="416"/>
        <v>1.5740000000000001E-3</v>
      </c>
      <c r="I909" s="1333">
        <v>1.5740000000000001E-3</v>
      </c>
      <c r="J909" s="1333"/>
      <c r="K909" s="1333"/>
      <c r="L909" s="1318">
        <v>1</v>
      </c>
      <c r="M909" s="233">
        <f t="shared" si="417"/>
        <v>4.448124</v>
      </c>
      <c r="N909" s="233">
        <f t="shared" si="408"/>
        <v>4.448124</v>
      </c>
      <c r="O909" s="234">
        <f t="shared" si="409"/>
        <v>0</v>
      </c>
      <c r="P909" s="234">
        <f t="shared" si="415"/>
        <v>0</v>
      </c>
      <c r="Q909" s="1341">
        <v>0</v>
      </c>
    </row>
    <row r="910" spans="1:17" hidden="1" outlineLevel="1">
      <c r="A910" s="190" t="s">
        <v>1038</v>
      </c>
      <c r="B910" s="1316" t="s">
        <v>438</v>
      </c>
      <c r="C910" s="1316" t="s">
        <v>593</v>
      </c>
      <c r="D910" s="1317" t="s">
        <v>427</v>
      </c>
      <c r="E910" s="1318">
        <v>1</v>
      </c>
      <c r="F910" s="1319" t="s">
        <v>444</v>
      </c>
      <c r="G910" s="1315">
        <v>12014</v>
      </c>
      <c r="H910" s="238">
        <f t="shared" si="416"/>
        <v>1.7500000000000003E-4</v>
      </c>
      <c r="I910" s="1333">
        <v>8.0000000000000007E-5</v>
      </c>
      <c r="J910" s="1333">
        <v>9.5000000000000005E-5</v>
      </c>
      <c r="K910" s="1333"/>
      <c r="L910" s="1318">
        <v>1</v>
      </c>
      <c r="M910" s="233">
        <f t="shared" si="417"/>
        <v>12.374419999999999</v>
      </c>
      <c r="N910" s="233">
        <f t="shared" si="408"/>
        <v>0.96112000000000009</v>
      </c>
      <c r="O910" s="234">
        <f t="shared" si="409"/>
        <v>11.4133</v>
      </c>
      <c r="P910" s="234">
        <f t="shared" si="415"/>
        <v>0</v>
      </c>
      <c r="Q910" s="1341">
        <v>0</v>
      </c>
    </row>
    <row r="911" spans="1:17" hidden="1" outlineLevel="1">
      <c r="A911" s="190" t="s">
        <v>1038</v>
      </c>
      <c r="B911" s="1320" t="s">
        <v>438</v>
      </c>
      <c r="C911" s="1320" t="s">
        <v>593</v>
      </c>
      <c r="D911" s="1321" t="s">
        <v>427</v>
      </c>
      <c r="E911" s="1322">
        <v>1</v>
      </c>
      <c r="F911" s="1324" t="s">
        <v>445</v>
      </c>
      <c r="G911" s="1323">
        <v>24326</v>
      </c>
      <c r="H911" s="239">
        <f t="shared" si="416"/>
        <v>9.9999999999999995E-7</v>
      </c>
      <c r="I911" s="1335">
        <v>9.9999999999999995E-7</v>
      </c>
      <c r="J911" s="1335"/>
      <c r="K911" s="1335"/>
      <c r="L911" s="1322">
        <v>1</v>
      </c>
      <c r="M911" s="227">
        <f t="shared" si="417"/>
        <v>2.4326E-2</v>
      </c>
      <c r="N911" s="227">
        <f t="shared" si="408"/>
        <v>2.4326E-2</v>
      </c>
      <c r="O911" s="228">
        <f t="shared" si="409"/>
        <v>0</v>
      </c>
      <c r="P911" s="228">
        <f t="shared" si="415"/>
        <v>0</v>
      </c>
      <c r="Q911" s="1342">
        <v>0</v>
      </c>
    </row>
    <row r="912" spans="1:17" hidden="1" outlineLevel="1">
      <c r="A912" s="190" t="s">
        <v>1038</v>
      </c>
      <c r="B912" s="1316" t="s">
        <v>418</v>
      </c>
      <c r="C912" s="1316" t="s">
        <v>439</v>
      </c>
      <c r="D912" s="1317" t="s">
        <v>427</v>
      </c>
      <c r="E912" s="1318">
        <v>1.5</v>
      </c>
      <c r="F912" s="1319" t="s">
        <v>868</v>
      </c>
      <c r="G912" s="1315">
        <v>1435</v>
      </c>
      <c r="H912" s="238">
        <f t="shared" si="416"/>
        <v>4.7247999999999998E-2</v>
      </c>
      <c r="I912" s="1333">
        <v>4.7247999999999998E-2</v>
      </c>
      <c r="J912" s="1333"/>
      <c r="K912" s="1333"/>
      <c r="L912" s="1318">
        <v>0.5</v>
      </c>
      <c r="M912" s="233">
        <f t="shared" si="417"/>
        <v>50.850659999999998</v>
      </c>
      <c r="N912" s="233">
        <f t="shared" si="408"/>
        <v>50.850659999999998</v>
      </c>
      <c r="O912" s="234">
        <f t="shared" si="409"/>
        <v>0</v>
      </c>
      <c r="P912" s="234">
        <f t="shared" si="415"/>
        <v>0</v>
      </c>
      <c r="Q912" s="1341">
        <v>0</v>
      </c>
    </row>
    <row r="913" spans="1:18" hidden="1" outlineLevel="1">
      <c r="A913" s="190" t="s">
        <v>1038</v>
      </c>
      <c r="B913" s="1316" t="s">
        <v>418</v>
      </c>
      <c r="C913" s="1316" t="s">
        <v>439</v>
      </c>
      <c r="D913" s="1317" t="s">
        <v>427</v>
      </c>
      <c r="E913" s="1318">
        <v>1.5</v>
      </c>
      <c r="F913" s="1319" t="s">
        <v>441</v>
      </c>
      <c r="G913" s="1315">
        <v>552.89</v>
      </c>
      <c r="H913" s="238">
        <f t="shared" si="416"/>
        <v>5.6106999999999997E-2</v>
      </c>
      <c r="I913" s="1333">
        <v>5.6106999999999997E-2</v>
      </c>
      <c r="J913" s="1333"/>
      <c r="K913" s="1333"/>
      <c r="L913" s="1318">
        <v>0.5</v>
      </c>
      <c r="M913" s="233">
        <f t="shared" si="417"/>
        <v>23.265749422500001</v>
      </c>
      <c r="N913" s="233">
        <f t="shared" si="408"/>
        <v>23.265749422500001</v>
      </c>
      <c r="O913" s="234">
        <f t="shared" si="409"/>
        <v>0</v>
      </c>
      <c r="P913" s="234">
        <f t="shared" si="415"/>
        <v>0</v>
      </c>
      <c r="Q913" s="1341">
        <v>0</v>
      </c>
    </row>
    <row r="914" spans="1:18" hidden="1" outlineLevel="1">
      <c r="A914" s="190" t="s">
        <v>1038</v>
      </c>
      <c r="B914" s="1316" t="s">
        <v>418</v>
      </c>
      <c r="C914" s="1316" t="s">
        <v>439</v>
      </c>
      <c r="D914" s="1317" t="s">
        <v>427</v>
      </c>
      <c r="E914" s="1318">
        <v>1.5</v>
      </c>
      <c r="F914" s="1319" t="s">
        <v>442</v>
      </c>
      <c r="G914" s="1315">
        <v>4582</v>
      </c>
      <c r="H914" s="238">
        <f t="shared" si="416"/>
        <v>2.362E-3</v>
      </c>
      <c r="I914" s="1333">
        <v>2.362E-3</v>
      </c>
      <c r="J914" s="1333"/>
      <c r="K914" s="1333"/>
      <c r="L914" s="1318">
        <v>0.5</v>
      </c>
      <c r="M914" s="233">
        <f t="shared" si="417"/>
        <v>8.117013</v>
      </c>
      <c r="N914" s="233">
        <f t="shared" si="408"/>
        <v>8.117013</v>
      </c>
      <c r="O914" s="234">
        <f t="shared" si="409"/>
        <v>0</v>
      </c>
      <c r="P914" s="234">
        <f t="shared" si="415"/>
        <v>0</v>
      </c>
      <c r="Q914" s="1341">
        <v>0</v>
      </c>
    </row>
    <row r="915" spans="1:18" hidden="1" outlineLevel="1">
      <c r="A915" s="190" t="s">
        <v>1038</v>
      </c>
      <c r="B915" s="1316" t="s">
        <v>418</v>
      </c>
      <c r="C915" s="1316" t="s">
        <v>439</v>
      </c>
      <c r="D915" s="1317" t="s">
        <v>427</v>
      </c>
      <c r="E915" s="1318">
        <v>1.5</v>
      </c>
      <c r="F915" s="1319" t="s">
        <v>443</v>
      </c>
      <c r="G915" s="1315">
        <v>2826</v>
      </c>
      <c r="H915" s="238">
        <f t="shared" si="416"/>
        <v>2.7758000000000001E-2</v>
      </c>
      <c r="I915" s="1333">
        <v>2.7758000000000001E-2</v>
      </c>
      <c r="J915" s="1333"/>
      <c r="K915" s="1333"/>
      <c r="L915" s="1318">
        <v>0.5</v>
      </c>
      <c r="M915" s="233">
        <f t="shared" si="417"/>
        <v>58.833081</v>
      </c>
      <c r="N915" s="233">
        <f t="shared" si="408"/>
        <v>58.833081</v>
      </c>
      <c r="O915" s="234">
        <f t="shared" si="409"/>
        <v>0</v>
      </c>
      <c r="P915" s="234">
        <f t="shared" si="415"/>
        <v>0</v>
      </c>
      <c r="Q915" s="1341">
        <v>0</v>
      </c>
    </row>
    <row r="916" spans="1:18" hidden="1" outlineLevel="1">
      <c r="A916" s="190" t="s">
        <v>1038</v>
      </c>
      <c r="B916" s="1316" t="s">
        <v>418</v>
      </c>
      <c r="C916" s="1316" t="s">
        <v>439</v>
      </c>
      <c r="D916" s="1317" t="s">
        <v>427</v>
      </c>
      <c r="E916" s="1318">
        <v>1.5</v>
      </c>
      <c r="F916" s="1319" t="s">
        <v>444</v>
      </c>
      <c r="G916" s="1315">
        <v>12014</v>
      </c>
      <c r="H916" s="238">
        <f t="shared" si="416"/>
        <v>4.1339999999999997E-3</v>
      </c>
      <c r="I916" s="1333">
        <v>4.1339999999999997E-3</v>
      </c>
      <c r="J916" s="1333"/>
      <c r="K916" s="1333"/>
      <c r="L916" s="1318">
        <v>0.5</v>
      </c>
      <c r="M916" s="233">
        <f t="shared" si="417"/>
        <v>37.249406999999998</v>
      </c>
      <c r="N916" s="233">
        <f t="shared" si="408"/>
        <v>37.249406999999998</v>
      </c>
      <c r="O916" s="234">
        <f t="shared" si="409"/>
        <v>0</v>
      </c>
      <c r="P916" s="234">
        <f t="shared" si="415"/>
        <v>0</v>
      </c>
      <c r="Q916" s="1341">
        <v>0</v>
      </c>
    </row>
    <row r="917" spans="1:18" hidden="1" outlineLevel="1">
      <c r="A917" s="190" t="s">
        <v>1038</v>
      </c>
      <c r="B917" s="1320" t="s">
        <v>418</v>
      </c>
      <c r="C917" s="1320" t="s">
        <v>439</v>
      </c>
      <c r="D917" s="1321" t="s">
        <v>427</v>
      </c>
      <c r="E917" s="1322">
        <v>1.5</v>
      </c>
      <c r="F917" s="1324" t="s">
        <v>445</v>
      </c>
      <c r="G917" s="1323">
        <v>24326</v>
      </c>
      <c r="H917" s="239">
        <f t="shared" si="416"/>
        <v>1.2999999999999999E-4</v>
      </c>
      <c r="I917" s="1335">
        <v>1.2999999999999999E-4</v>
      </c>
      <c r="J917" s="1335"/>
      <c r="K917" s="1335"/>
      <c r="L917" s="1322">
        <v>0.5</v>
      </c>
      <c r="M917" s="227">
        <f t="shared" si="417"/>
        <v>2.3717849999999996</v>
      </c>
      <c r="N917" s="227">
        <f t="shared" si="408"/>
        <v>2.3717849999999996</v>
      </c>
      <c r="O917" s="228">
        <f t="shared" si="409"/>
        <v>0</v>
      </c>
      <c r="P917" s="228">
        <f t="shared" si="415"/>
        <v>0</v>
      </c>
      <c r="Q917" s="1342">
        <v>0</v>
      </c>
    </row>
    <row r="918" spans="1:18" hidden="1" outlineLevel="1">
      <c r="A918" s="190" t="s">
        <v>1038</v>
      </c>
      <c r="B918" s="1316" t="s">
        <v>411</v>
      </c>
      <c r="C918" s="1316" t="s">
        <v>440</v>
      </c>
      <c r="D918" s="1317" t="s">
        <v>427</v>
      </c>
      <c r="E918" s="1318">
        <v>1.5</v>
      </c>
      <c r="F918" s="1319" t="s">
        <v>868</v>
      </c>
      <c r="G918" s="1315">
        <v>1435</v>
      </c>
      <c r="H918" s="238">
        <f t="shared" si="416"/>
        <v>9.3899999999999995E-4</v>
      </c>
      <c r="I918" s="1333">
        <v>9.3899999999999995E-4</v>
      </c>
      <c r="J918" s="1333"/>
      <c r="K918" s="1333"/>
      <c r="L918" s="1318">
        <v>0.5</v>
      </c>
      <c r="M918" s="233">
        <f t="shared" si="417"/>
        <v>1.01059875</v>
      </c>
      <c r="N918" s="233">
        <f t="shared" si="408"/>
        <v>1.01059875</v>
      </c>
      <c r="O918" s="234">
        <f t="shared" si="409"/>
        <v>0</v>
      </c>
      <c r="P918" s="234">
        <f t="shared" si="415"/>
        <v>0</v>
      </c>
      <c r="Q918" s="1341">
        <v>0</v>
      </c>
    </row>
    <row r="919" spans="1:18" hidden="1" outlineLevel="1">
      <c r="A919" s="190" t="s">
        <v>1038</v>
      </c>
      <c r="B919" s="1316" t="s">
        <v>411</v>
      </c>
      <c r="C919" s="1316" t="s">
        <v>440</v>
      </c>
      <c r="D919" s="1317" t="s">
        <v>427</v>
      </c>
      <c r="E919" s="1318">
        <v>1.5</v>
      </c>
      <c r="F919" s="1317" t="s">
        <v>441</v>
      </c>
      <c r="G919" s="1315">
        <v>552.89</v>
      </c>
      <c r="H919" s="238">
        <f t="shared" ref="H919" si="418">SUM(I919:K919)</f>
        <v>2.6819999999999999E-3</v>
      </c>
      <c r="I919" s="1333">
        <v>2.6819999999999999E-3</v>
      </c>
      <c r="J919" s="1333"/>
      <c r="K919" s="1333"/>
      <c r="L919" s="1318">
        <v>0.5</v>
      </c>
      <c r="M919" s="233">
        <f t="shared" ref="M919:M927" si="419">SUM(N919:P919)-Q919</f>
        <v>1.112138235</v>
      </c>
      <c r="N919" s="233">
        <f t="shared" si="408"/>
        <v>1.112138235</v>
      </c>
      <c r="O919" s="234">
        <f t="shared" si="409"/>
        <v>0</v>
      </c>
      <c r="P919" s="234">
        <f t="shared" si="415"/>
        <v>0</v>
      </c>
      <c r="Q919" s="1341">
        <v>0</v>
      </c>
    </row>
    <row r="920" spans="1:18" hidden="1" outlineLevel="1">
      <c r="A920" s="190" t="s">
        <v>1038</v>
      </c>
      <c r="B920" s="1316" t="s">
        <v>411</v>
      </c>
      <c r="C920" s="1316" t="s">
        <v>440</v>
      </c>
      <c r="D920" s="1317" t="s">
        <v>427</v>
      </c>
      <c r="E920" s="1318">
        <v>1.5</v>
      </c>
      <c r="F920" s="1319" t="s">
        <v>442</v>
      </c>
      <c r="G920" s="1315">
        <v>4582</v>
      </c>
      <c r="H920" s="238">
        <f>SUM(I920:K920)</f>
        <v>0</v>
      </c>
      <c r="I920" s="1333"/>
      <c r="J920" s="1333"/>
      <c r="K920" s="1333"/>
      <c r="L920" s="1318">
        <v>0.5</v>
      </c>
      <c r="M920" s="233">
        <f t="shared" si="419"/>
        <v>0</v>
      </c>
      <c r="N920" s="233">
        <f t="shared" si="408"/>
        <v>0</v>
      </c>
      <c r="O920" s="234">
        <f t="shared" si="409"/>
        <v>0</v>
      </c>
      <c r="P920" s="234">
        <f t="shared" si="415"/>
        <v>0</v>
      </c>
      <c r="Q920" s="1341">
        <v>0</v>
      </c>
    </row>
    <row r="921" spans="1:18" hidden="1" outlineLevel="1">
      <c r="A921" s="190" t="s">
        <v>1038</v>
      </c>
      <c r="B921" s="1316" t="s">
        <v>411</v>
      </c>
      <c r="C921" s="1316" t="s">
        <v>440</v>
      </c>
      <c r="D921" s="1317" t="s">
        <v>427</v>
      </c>
      <c r="E921" s="1318">
        <v>1.5</v>
      </c>
      <c r="F921" s="1319" t="s">
        <v>443</v>
      </c>
      <c r="G921" s="1315">
        <v>2826</v>
      </c>
      <c r="H921" s="238">
        <f t="shared" ref="H921:H927" si="420">SUM(I921:K921)</f>
        <v>2.8609999999999998E-3</v>
      </c>
      <c r="I921" s="1333">
        <v>2.8609999999999998E-3</v>
      </c>
      <c r="J921" s="1333"/>
      <c r="K921" s="1333"/>
      <c r="L921" s="1318">
        <v>0.5</v>
      </c>
      <c r="M921" s="233">
        <f t="shared" si="419"/>
        <v>6.0638894999999993</v>
      </c>
      <c r="N921" s="233">
        <f t="shared" si="408"/>
        <v>6.0638894999999993</v>
      </c>
      <c r="O921" s="234">
        <f t="shared" si="409"/>
        <v>0</v>
      </c>
      <c r="P921" s="234">
        <f t="shared" si="415"/>
        <v>0</v>
      </c>
      <c r="Q921" s="1341">
        <v>0</v>
      </c>
    </row>
    <row r="922" spans="1:18" hidden="1" outlineLevel="1">
      <c r="A922" s="190" t="s">
        <v>1038</v>
      </c>
      <c r="B922" s="1320" t="s">
        <v>411</v>
      </c>
      <c r="C922" s="1320" t="s">
        <v>440</v>
      </c>
      <c r="D922" s="1321" t="s">
        <v>427</v>
      </c>
      <c r="E922" s="1322">
        <v>1.5</v>
      </c>
      <c r="F922" s="1324" t="s">
        <v>444</v>
      </c>
      <c r="G922" s="1323">
        <v>12014</v>
      </c>
      <c r="H922" s="239">
        <f t="shared" si="420"/>
        <v>2.1000000000000001E-4</v>
      </c>
      <c r="I922" s="1335">
        <v>2.1000000000000001E-4</v>
      </c>
      <c r="J922" s="1335"/>
      <c r="K922" s="1335"/>
      <c r="L922" s="1322">
        <v>0.5</v>
      </c>
      <c r="M922" s="227">
        <f t="shared" si="419"/>
        <v>1.8922050000000001</v>
      </c>
      <c r="N922" s="227">
        <f t="shared" si="408"/>
        <v>1.8922050000000001</v>
      </c>
      <c r="O922" s="228">
        <f t="shared" si="409"/>
        <v>0</v>
      </c>
      <c r="P922" s="228">
        <f t="shared" si="415"/>
        <v>0</v>
      </c>
      <c r="Q922" s="1342">
        <v>0</v>
      </c>
    </row>
    <row r="923" spans="1:18" hidden="1" outlineLevel="1">
      <c r="A923" s="190" t="s">
        <v>1038</v>
      </c>
      <c r="B923" s="1316" t="s">
        <v>409</v>
      </c>
      <c r="C923" s="1316" t="s">
        <v>594</v>
      </c>
      <c r="D923" s="1317" t="s">
        <v>427</v>
      </c>
      <c r="E923" s="1318">
        <v>1</v>
      </c>
      <c r="F923" s="1319" t="s">
        <v>868</v>
      </c>
      <c r="G923" s="1315">
        <v>1435</v>
      </c>
      <c r="H923" s="238">
        <f t="shared" si="420"/>
        <v>8.2799999999999996E-4</v>
      </c>
      <c r="I923" s="1333">
        <v>8.2799999999999996E-4</v>
      </c>
      <c r="J923" s="1333"/>
      <c r="K923" s="1333"/>
      <c r="L923" s="1318">
        <v>0.5</v>
      </c>
      <c r="M923" s="233">
        <f t="shared" si="419"/>
        <v>0.59409000000000001</v>
      </c>
      <c r="N923" s="233">
        <f t="shared" si="408"/>
        <v>0.59409000000000001</v>
      </c>
      <c r="O923" s="234">
        <f t="shared" si="409"/>
        <v>0</v>
      </c>
      <c r="P923" s="234">
        <f t="shared" si="415"/>
        <v>0</v>
      </c>
      <c r="Q923" s="1341">
        <v>0</v>
      </c>
    </row>
    <row r="924" spans="1:18" hidden="1" outlineLevel="1">
      <c r="A924" s="190" t="s">
        <v>1038</v>
      </c>
      <c r="B924" s="1316" t="s">
        <v>409</v>
      </c>
      <c r="C924" s="1316" t="s">
        <v>594</v>
      </c>
      <c r="D924" s="1317" t="s">
        <v>427</v>
      </c>
      <c r="E924" s="1318">
        <v>1</v>
      </c>
      <c r="F924" s="1317" t="s">
        <v>441</v>
      </c>
      <c r="G924" s="1315">
        <v>552.89</v>
      </c>
      <c r="H924" s="238">
        <f t="shared" si="420"/>
        <v>1.1294999999999999E-2</v>
      </c>
      <c r="I924" s="1333">
        <v>1.1294999999999999E-2</v>
      </c>
      <c r="J924" s="1333"/>
      <c r="K924" s="1333"/>
      <c r="L924" s="1318">
        <v>0.5</v>
      </c>
      <c r="M924" s="233">
        <f t="shared" si="419"/>
        <v>3.1224462749999997</v>
      </c>
      <c r="N924" s="233">
        <f t="shared" si="408"/>
        <v>3.1224462749999997</v>
      </c>
      <c r="O924" s="234">
        <f t="shared" si="409"/>
        <v>0</v>
      </c>
      <c r="P924" s="234">
        <f t="shared" si="415"/>
        <v>0</v>
      </c>
      <c r="Q924" s="1341">
        <v>0</v>
      </c>
    </row>
    <row r="925" spans="1:18" hidden="1" outlineLevel="1">
      <c r="A925" s="190" t="s">
        <v>1038</v>
      </c>
      <c r="B925" s="1316" t="s">
        <v>409</v>
      </c>
      <c r="C925" s="1316" t="s">
        <v>594</v>
      </c>
      <c r="D925" s="1317" t="s">
        <v>427</v>
      </c>
      <c r="E925" s="1318">
        <v>1</v>
      </c>
      <c r="F925" s="1319" t="s">
        <v>442</v>
      </c>
      <c r="G925" s="1315">
        <v>4582</v>
      </c>
      <c r="H925" s="238">
        <f t="shared" si="420"/>
        <v>0</v>
      </c>
      <c r="I925" s="1333"/>
      <c r="J925" s="1333"/>
      <c r="K925" s="1333"/>
      <c r="L925" s="1318">
        <v>0.5</v>
      </c>
      <c r="M925" s="233">
        <f t="shared" si="419"/>
        <v>0</v>
      </c>
      <c r="N925" s="233">
        <f t="shared" si="408"/>
        <v>0</v>
      </c>
      <c r="O925" s="234">
        <f t="shared" si="409"/>
        <v>0</v>
      </c>
      <c r="P925" s="234">
        <f t="shared" si="415"/>
        <v>0</v>
      </c>
      <c r="Q925" s="1341">
        <v>0</v>
      </c>
    </row>
    <row r="926" spans="1:18" hidden="1" outlineLevel="1">
      <c r="A926" s="190" t="s">
        <v>1038</v>
      </c>
      <c r="B926" s="1316" t="s">
        <v>409</v>
      </c>
      <c r="C926" s="1316" t="s">
        <v>594</v>
      </c>
      <c r="D926" s="1317" t="s">
        <v>427</v>
      </c>
      <c r="E926" s="1318">
        <v>1</v>
      </c>
      <c r="F926" s="1319" t="s">
        <v>443</v>
      </c>
      <c r="G926" s="1315">
        <v>2826</v>
      </c>
      <c r="H926" s="238">
        <f t="shared" si="420"/>
        <v>2.6359999999999999E-3</v>
      </c>
      <c r="I926" s="1333">
        <v>2.6359999999999999E-3</v>
      </c>
      <c r="J926" s="1333"/>
      <c r="K926" s="1333"/>
      <c r="L926" s="1318">
        <v>0.5</v>
      </c>
      <c r="M926" s="235">
        <f t="shared" si="419"/>
        <v>3.7246679999999999</v>
      </c>
      <c r="N926" s="233">
        <f t="shared" si="408"/>
        <v>3.7246679999999999</v>
      </c>
      <c r="O926" s="234">
        <f t="shared" si="409"/>
        <v>0</v>
      </c>
      <c r="P926" s="234">
        <f t="shared" si="415"/>
        <v>0</v>
      </c>
      <c r="Q926" s="1341">
        <v>0</v>
      </c>
    </row>
    <row r="927" spans="1:18" hidden="1" outlineLevel="1">
      <c r="A927" s="191" t="s">
        <v>1038</v>
      </c>
      <c r="B927" s="1320" t="s">
        <v>409</v>
      </c>
      <c r="C927" s="1320" t="s">
        <v>594</v>
      </c>
      <c r="D927" s="1321" t="s">
        <v>427</v>
      </c>
      <c r="E927" s="1322">
        <v>1</v>
      </c>
      <c r="F927" s="1324" t="s">
        <v>444</v>
      </c>
      <c r="G927" s="1323">
        <v>12014</v>
      </c>
      <c r="H927" s="239">
        <f t="shared" si="420"/>
        <v>1.73E-4</v>
      </c>
      <c r="I927" s="1335">
        <v>1.73E-4</v>
      </c>
      <c r="J927" s="1335"/>
      <c r="K927" s="1335"/>
      <c r="L927" s="1322">
        <v>0.5</v>
      </c>
      <c r="M927" s="267">
        <f t="shared" si="419"/>
        <v>1.0392110000000001</v>
      </c>
      <c r="N927" s="227">
        <f t="shared" si="408"/>
        <v>1.0392110000000001</v>
      </c>
      <c r="O927" s="228">
        <f t="shared" si="409"/>
        <v>0</v>
      </c>
      <c r="P927" s="228">
        <f t="shared" si="415"/>
        <v>0</v>
      </c>
      <c r="Q927" s="1342">
        <v>0</v>
      </c>
      <c r="R927" s="512">
        <f>SUM(M888:M927)</f>
        <v>540.82160219249988</v>
      </c>
    </row>
    <row r="928" spans="1:18" hidden="1" outlineLevel="1">
      <c r="A928" s="771" t="s">
        <v>1038</v>
      </c>
      <c r="B928" s="1308" t="s">
        <v>434</v>
      </c>
      <c r="C928" s="1308" t="s">
        <v>435</v>
      </c>
      <c r="D928" s="1309" t="s">
        <v>431</v>
      </c>
      <c r="E928" s="1310">
        <v>1</v>
      </c>
      <c r="F928" s="1309" t="s">
        <v>868</v>
      </c>
      <c r="G928" s="1311">
        <v>1435</v>
      </c>
      <c r="H928" s="778">
        <f>SUM(I928:K928)</f>
        <v>3.8550000000000001E-2</v>
      </c>
      <c r="I928" s="1329">
        <v>3.8550000000000001E-2</v>
      </c>
      <c r="J928" s="1329"/>
      <c r="K928" s="1329"/>
      <c r="L928" s="1310">
        <v>1</v>
      </c>
      <c r="M928" s="772">
        <f>SUM(N928:P928)-Q928</f>
        <v>55.319250000000004</v>
      </c>
      <c r="N928" s="772">
        <f t="shared" si="408"/>
        <v>55.319250000000004</v>
      </c>
      <c r="O928" s="773">
        <f t="shared" si="409"/>
        <v>0</v>
      </c>
      <c r="P928" s="773">
        <f>E928*G928*K928*L928*15</f>
        <v>0</v>
      </c>
      <c r="Q928" s="1339">
        <v>0</v>
      </c>
      <c r="R928" s="774"/>
    </row>
    <row r="929" spans="1:18" hidden="1" outlineLevel="1">
      <c r="A929" s="190" t="s">
        <v>1038</v>
      </c>
      <c r="B929" s="1312" t="s">
        <v>434</v>
      </c>
      <c r="C929" s="1312" t="s">
        <v>435</v>
      </c>
      <c r="D929" s="1313" t="s">
        <v>431</v>
      </c>
      <c r="E929" s="1314">
        <v>1</v>
      </c>
      <c r="F929" s="1319" t="s">
        <v>441</v>
      </c>
      <c r="G929" s="1315">
        <v>552.89</v>
      </c>
      <c r="H929" s="237">
        <f t="shared" ref="H929:H930" si="421">SUM(I929:K929)</f>
        <v>7.5724E-2</v>
      </c>
      <c r="I929" s="1331">
        <v>7.5724E-2</v>
      </c>
      <c r="J929" s="1331"/>
      <c r="K929" s="1331"/>
      <c r="L929" s="1314">
        <v>1</v>
      </c>
      <c r="M929" s="223">
        <f t="shared" ref="M929:M930" si="422">SUM(N929:P929)-Q929</f>
        <v>41.867042359999999</v>
      </c>
      <c r="N929" s="223">
        <f t="shared" si="408"/>
        <v>41.867042359999999</v>
      </c>
      <c r="O929" s="224">
        <f t="shared" si="409"/>
        <v>0</v>
      </c>
      <c r="P929" s="224">
        <f t="shared" ref="P929:P930" si="423">E929*G929*K929*L929*15</f>
        <v>0</v>
      </c>
      <c r="Q929" s="1340">
        <v>0</v>
      </c>
    </row>
    <row r="930" spans="1:18" hidden="1" outlineLevel="1">
      <c r="A930" s="190" t="s">
        <v>1038</v>
      </c>
      <c r="B930" s="1316" t="s">
        <v>434</v>
      </c>
      <c r="C930" s="1316" t="s">
        <v>435</v>
      </c>
      <c r="D930" s="1313" t="s">
        <v>431</v>
      </c>
      <c r="E930" s="1318">
        <v>1</v>
      </c>
      <c r="F930" s="1319" t="s">
        <v>442</v>
      </c>
      <c r="G930" s="1315">
        <v>4582</v>
      </c>
      <c r="H930" s="238">
        <f t="shared" si="421"/>
        <v>0</v>
      </c>
      <c r="I930" s="1333"/>
      <c r="J930" s="1333"/>
      <c r="K930" s="1333"/>
      <c r="L930" s="1318">
        <v>1</v>
      </c>
      <c r="M930" s="233">
        <f t="shared" si="422"/>
        <v>0</v>
      </c>
      <c r="N930" s="233">
        <f t="shared" si="408"/>
        <v>0</v>
      </c>
      <c r="O930" s="234">
        <f t="shared" si="409"/>
        <v>0</v>
      </c>
      <c r="P930" s="234">
        <f t="shared" si="423"/>
        <v>0</v>
      </c>
      <c r="Q930" s="1341">
        <v>0</v>
      </c>
    </row>
    <row r="931" spans="1:18" hidden="1" outlineLevel="1">
      <c r="A931" s="190" t="s">
        <v>1038</v>
      </c>
      <c r="B931" s="1316" t="s">
        <v>434</v>
      </c>
      <c r="C931" s="1316" t="s">
        <v>435</v>
      </c>
      <c r="D931" s="1317" t="s">
        <v>431</v>
      </c>
      <c r="E931" s="1318">
        <v>1</v>
      </c>
      <c r="F931" s="1319" t="s">
        <v>443</v>
      </c>
      <c r="G931" s="1315">
        <v>2826</v>
      </c>
      <c r="H931" s="238">
        <f>SUM(I931:K931)</f>
        <v>0.316664</v>
      </c>
      <c r="I931" s="1333">
        <v>0.316664</v>
      </c>
      <c r="J931" s="1333"/>
      <c r="K931" s="1333"/>
      <c r="L931" s="1318">
        <v>1</v>
      </c>
      <c r="M931" s="233">
        <f>SUM(N931:P931)-Q931</f>
        <v>894.89246400000002</v>
      </c>
      <c r="N931" s="233">
        <f t="shared" si="408"/>
        <v>894.89246400000002</v>
      </c>
      <c r="O931" s="234">
        <f t="shared" si="409"/>
        <v>0</v>
      </c>
      <c r="P931" s="234">
        <f>E931*G931*K931*L931*15</f>
        <v>0</v>
      </c>
      <c r="Q931" s="1341">
        <v>0</v>
      </c>
    </row>
    <row r="932" spans="1:18" hidden="1" outlineLevel="1">
      <c r="A932" s="190" t="s">
        <v>1038</v>
      </c>
      <c r="B932" s="1316" t="s">
        <v>434</v>
      </c>
      <c r="C932" s="1316" t="s">
        <v>435</v>
      </c>
      <c r="D932" s="1317" t="s">
        <v>431</v>
      </c>
      <c r="E932" s="1318">
        <v>1</v>
      </c>
      <c r="F932" s="1317" t="s">
        <v>444</v>
      </c>
      <c r="G932" s="1315">
        <v>12014</v>
      </c>
      <c r="H932" s="238">
        <f>SUM(I932:K932)</f>
        <v>5.6448999999999999E-2</v>
      </c>
      <c r="I932" s="1333">
        <v>1.3768000000000001E-2</v>
      </c>
      <c r="J932" s="1333">
        <v>4.2680999999999997E-2</v>
      </c>
      <c r="K932" s="1333"/>
      <c r="L932" s="1318">
        <v>1</v>
      </c>
      <c r="M932" s="233">
        <f>SUM(N932:P932)-Q932</f>
        <v>5293.1040919999996</v>
      </c>
      <c r="N932" s="233">
        <f t="shared" si="408"/>
        <v>165.40875200000002</v>
      </c>
      <c r="O932" s="234">
        <f t="shared" si="409"/>
        <v>5127.6953399999993</v>
      </c>
      <c r="P932" s="234">
        <f>E932*G932*K932*L932*15</f>
        <v>0</v>
      </c>
      <c r="Q932" s="1341">
        <v>0</v>
      </c>
    </row>
    <row r="933" spans="1:18" hidden="1" outlineLevel="1">
      <c r="A933" s="190" t="s">
        <v>1038</v>
      </c>
      <c r="B933" s="1320" t="s">
        <v>434</v>
      </c>
      <c r="C933" s="1320" t="s">
        <v>435</v>
      </c>
      <c r="D933" s="1321" t="s">
        <v>431</v>
      </c>
      <c r="E933" s="1322">
        <v>1</v>
      </c>
      <c r="F933" s="1324" t="s">
        <v>445</v>
      </c>
      <c r="G933" s="1323">
        <v>24326</v>
      </c>
      <c r="H933" s="239">
        <f t="shared" ref="H933:H942" si="424">SUM(I933:K933)</f>
        <v>0</v>
      </c>
      <c r="I933" s="1335"/>
      <c r="J933" s="1335"/>
      <c r="K933" s="1335"/>
      <c r="L933" s="1322">
        <v>1</v>
      </c>
      <c r="M933" s="227">
        <f t="shared" ref="M933" si="425">SUM(N933:P933)-Q933</f>
        <v>0</v>
      </c>
      <c r="N933" s="227">
        <f t="shared" si="408"/>
        <v>0</v>
      </c>
      <c r="O933" s="228">
        <f t="shared" si="409"/>
        <v>0</v>
      </c>
      <c r="P933" s="228">
        <f t="shared" ref="P933" si="426">E933*G933*K933*L933*15</f>
        <v>0</v>
      </c>
      <c r="Q933" s="1342">
        <v>0</v>
      </c>
      <c r="R933" s="780"/>
    </row>
    <row r="934" spans="1:18" hidden="1" outlineLevel="1">
      <c r="A934" s="190" t="s">
        <v>1038</v>
      </c>
      <c r="B934" s="1308" t="s">
        <v>869</v>
      </c>
      <c r="C934" s="1308" t="s">
        <v>870</v>
      </c>
      <c r="D934" s="1309" t="s">
        <v>431</v>
      </c>
      <c r="E934" s="1310">
        <v>1</v>
      </c>
      <c r="F934" s="1450" t="s">
        <v>441</v>
      </c>
      <c r="G934" s="1311">
        <v>552.89</v>
      </c>
      <c r="H934" s="778">
        <f t="shared" si="424"/>
        <v>7.2119999999999997E-3</v>
      </c>
      <c r="I934" s="1329">
        <v>7.2119999999999997E-3</v>
      </c>
      <c r="J934" s="1329"/>
      <c r="K934" s="1329"/>
      <c r="L934" s="1310">
        <v>1</v>
      </c>
      <c r="M934" s="1451">
        <f t="shared" ref="M934:M938" si="427">SUM(N934:P934)-Q934</f>
        <v>0</v>
      </c>
      <c r="N934" s="1452">
        <v>0</v>
      </c>
      <c r="O934" s="1453">
        <f t="shared" ref="O934:O938" si="428">E934*G934*J934</f>
        <v>0</v>
      </c>
      <c r="P934" s="1453"/>
      <c r="Q934" s="1339">
        <v>0</v>
      </c>
    </row>
    <row r="935" spans="1:18" hidden="1" outlineLevel="1">
      <c r="A935" s="190" t="s">
        <v>1038</v>
      </c>
      <c r="B935" s="1320" t="s">
        <v>869</v>
      </c>
      <c r="C935" s="1320" t="s">
        <v>870</v>
      </c>
      <c r="D935" s="1321" t="s">
        <v>431</v>
      </c>
      <c r="E935" s="1322">
        <v>1</v>
      </c>
      <c r="F935" s="1324" t="s">
        <v>442</v>
      </c>
      <c r="G935" s="1323">
        <v>4582</v>
      </c>
      <c r="H935" s="239">
        <f t="shared" si="424"/>
        <v>2.4160000000000001E-2</v>
      </c>
      <c r="I935" s="1335">
        <v>1.8030000000000001E-2</v>
      </c>
      <c r="J935" s="1335">
        <v>6.13E-3</v>
      </c>
      <c r="K935" s="1335"/>
      <c r="L935" s="1322">
        <v>1</v>
      </c>
      <c r="M935" s="520">
        <f t="shared" si="427"/>
        <v>28.08766</v>
      </c>
      <c r="N935" s="521">
        <v>0</v>
      </c>
      <c r="O935" s="522">
        <f t="shared" si="428"/>
        <v>28.08766</v>
      </c>
      <c r="P935" s="522"/>
      <c r="Q935" s="1342">
        <v>0</v>
      </c>
    </row>
    <row r="936" spans="1:18" hidden="1" outlineLevel="1">
      <c r="A936" s="190" t="s">
        <v>1038</v>
      </c>
      <c r="B936" s="1320" t="s">
        <v>1301</v>
      </c>
      <c r="C936" s="1320" t="s">
        <v>867</v>
      </c>
      <c r="D936" s="1321" t="s">
        <v>431</v>
      </c>
      <c r="E936" s="1322">
        <v>1.5</v>
      </c>
      <c r="F936" s="1324" t="s">
        <v>441</v>
      </c>
      <c r="G936" s="1323">
        <v>552.89</v>
      </c>
      <c r="H936" s="239">
        <f t="shared" si="424"/>
        <v>0</v>
      </c>
      <c r="I936" s="1335"/>
      <c r="J936" s="1335"/>
      <c r="K936" s="1335"/>
      <c r="L936" s="1322">
        <v>0.5</v>
      </c>
      <c r="M936" s="520">
        <f t="shared" si="427"/>
        <v>0</v>
      </c>
      <c r="N936" s="521">
        <v>0</v>
      </c>
      <c r="O936" s="522">
        <f t="shared" si="428"/>
        <v>0</v>
      </c>
      <c r="P936" s="522"/>
      <c r="Q936" s="1342">
        <v>0</v>
      </c>
    </row>
    <row r="937" spans="1:18" hidden="1" outlineLevel="1">
      <c r="A937" s="190" t="s">
        <v>1038</v>
      </c>
      <c r="B937" s="1325" t="s">
        <v>620</v>
      </c>
      <c r="C937" s="1325" t="s">
        <v>621</v>
      </c>
      <c r="D937" s="1326" t="s">
        <v>431</v>
      </c>
      <c r="E937" s="1327">
        <v>1</v>
      </c>
      <c r="F937" s="1324" t="s">
        <v>441</v>
      </c>
      <c r="G937" s="1323">
        <v>580.53</v>
      </c>
      <c r="H937" s="239">
        <f t="shared" ref="H937:H938" si="429">SUM(I937:K937)</f>
        <v>0</v>
      </c>
      <c r="I937" s="1338"/>
      <c r="J937" s="1338"/>
      <c r="K937" s="1338"/>
      <c r="L937" s="1322">
        <v>0.5</v>
      </c>
      <c r="M937" s="520">
        <f t="shared" si="427"/>
        <v>0</v>
      </c>
      <c r="N937" s="521">
        <v>0</v>
      </c>
      <c r="O937" s="522">
        <f t="shared" si="428"/>
        <v>0</v>
      </c>
      <c r="P937" s="522"/>
      <c r="Q937" s="1342">
        <v>0</v>
      </c>
    </row>
    <row r="938" spans="1:18" hidden="1" outlineLevel="1">
      <c r="A938" s="190" t="s">
        <v>1038</v>
      </c>
      <c r="B938" s="1325" t="s">
        <v>622</v>
      </c>
      <c r="C938" s="1325" t="s">
        <v>619</v>
      </c>
      <c r="D938" s="1326" t="s">
        <v>431</v>
      </c>
      <c r="E938" s="1327">
        <v>1</v>
      </c>
      <c r="F938" s="1324" t="s">
        <v>441</v>
      </c>
      <c r="G938" s="1323">
        <v>580.53</v>
      </c>
      <c r="H938" s="239">
        <f t="shared" si="429"/>
        <v>0</v>
      </c>
      <c r="I938" s="1338"/>
      <c r="J938" s="1338"/>
      <c r="K938" s="1338"/>
      <c r="L938" s="1322">
        <v>0.5</v>
      </c>
      <c r="M938" s="520">
        <f t="shared" si="427"/>
        <v>0</v>
      </c>
      <c r="N938" s="521">
        <v>0</v>
      </c>
      <c r="O938" s="522">
        <f t="shared" si="428"/>
        <v>0</v>
      </c>
      <c r="P938" s="522"/>
      <c r="Q938" s="1342">
        <v>0</v>
      </c>
    </row>
    <row r="939" spans="1:18" hidden="1" outlineLevel="1">
      <c r="A939" s="190" t="s">
        <v>1038</v>
      </c>
      <c r="B939" s="1316" t="s">
        <v>436</v>
      </c>
      <c r="C939" s="1316" t="s">
        <v>591</v>
      </c>
      <c r="D939" s="1317" t="s">
        <v>431</v>
      </c>
      <c r="E939" s="1318">
        <v>1</v>
      </c>
      <c r="F939" s="1317" t="s">
        <v>868</v>
      </c>
      <c r="G939" s="1315">
        <v>1435</v>
      </c>
      <c r="H939" s="238">
        <f t="shared" si="424"/>
        <v>0</v>
      </c>
      <c r="I939" s="1333"/>
      <c r="J939" s="1333"/>
      <c r="K939" s="1333"/>
      <c r="L939" s="1318">
        <v>0.5</v>
      </c>
      <c r="M939" s="233">
        <f t="shared" ref="M939:M942" si="430">SUM(N939:P939)-Q939</f>
        <v>0</v>
      </c>
      <c r="N939" s="233">
        <f t="shared" ref="N939:N975" si="431">E939*G939*I939*L939</f>
        <v>0</v>
      </c>
      <c r="O939" s="234">
        <f t="shared" ref="O939:O975" si="432">E939*G939*J939*L939*10</f>
        <v>0</v>
      </c>
      <c r="P939" s="234">
        <f t="shared" ref="P939:P947" si="433">E939*G939*K939*L939*15</f>
        <v>0</v>
      </c>
      <c r="Q939" s="1341">
        <v>0</v>
      </c>
    </row>
    <row r="940" spans="1:18" hidden="1" outlineLevel="1">
      <c r="A940" s="190" t="s">
        <v>1038</v>
      </c>
      <c r="B940" s="1316" t="s">
        <v>436</v>
      </c>
      <c r="C940" s="1316" t="s">
        <v>591</v>
      </c>
      <c r="D940" s="1317" t="s">
        <v>431</v>
      </c>
      <c r="E940" s="1318">
        <v>1</v>
      </c>
      <c r="F940" s="1319" t="s">
        <v>871</v>
      </c>
      <c r="G940" s="1315">
        <v>0.19</v>
      </c>
      <c r="H940" s="238">
        <f t="shared" ref="H940" si="434">SUM(I940:K940)</f>
        <v>0</v>
      </c>
      <c r="I940" s="1337"/>
      <c r="J940" s="1337"/>
      <c r="K940" s="1334"/>
      <c r="L940" s="1318">
        <v>0.5</v>
      </c>
      <c r="M940" s="233">
        <f t="shared" si="430"/>
        <v>0</v>
      </c>
      <c r="N940" s="233">
        <f t="shared" si="431"/>
        <v>0</v>
      </c>
      <c r="O940" s="234">
        <f t="shared" si="432"/>
        <v>0</v>
      </c>
      <c r="P940" s="234">
        <f t="shared" si="433"/>
        <v>0</v>
      </c>
      <c r="Q940" s="1341">
        <v>0</v>
      </c>
    </row>
    <row r="941" spans="1:18" hidden="1" outlineLevel="1">
      <c r="A941" s="190" t="s">
        <v>1038</v>
      </c>
      <c r="B941" s="1316" t="s">
        <v>436</v>
      </c>
      <c r="C941" s="1316" t="s">
        <v>591</v>
      </c>
      <c r="D941" s="1317" t="s">
        <v>431</v>
      </c>
      <c r="E941" s="1318">
        <v>1</v>
      </c>
      <c r="F941" s="1319" t="s">
        <v>441</v>
      </c>
      <c r="G941" s="1315">
        <v>552.89</v>
      </c>
      <c r="H941" s="238">
        <f t="shared" si="424"/>
        <v>0</v>
      </c>
      <c r="I941" s="1333"/>
      <c r="J941" s="1333"/>
      <c r="K941" s="1333"/>
      <c r="L941" s="1318">
        <v>0.5</v>
      </c>
      <c r="M941" s="233">
        <f t="shared" si="430"/>
        <v>0</v>
      </c>
      <c r="N941" s="233">
        <f t="shared" si="431"/>
        <v>0</v>
      </c>
      <c r="O941" s="234">
        <f t="shared" si="432"/>
        <v>0</v>
      </c>
      <c r="P941" s="234">
        <f t="shared" si="433"/>
        <v>0</v>
      </c>
      <c r="Q941" s="1341">
        <v>0</v>
      </c>
    </row>
    <row r="942" spans="1:18" hidden="1" outlineLevel="1">
      <c r="A942" s="190" t="s">
        <v>1038</v>
      </c>
      <c r="B942" s="1316" t="s">
        <v>436</v>
      </c>
      <c r="C942" s="1316" t="s">
        <v>591</v>
      </c>
      <c r="D942" s="1317" t="s">
        <v>431</v>
      </c>
      <c r="E942" s="1318">
        <v>1</v>
      </c>
      <c r="F942" s="1319" t="s">
        <v>443</v>
      </c>
      <c r="G942" s="1315">
        <v>2826</v>
      </c>
      <c r="H942" s="238">
        <f t="shared" si="424"/>
        <v>0</v>
      </c>
      <c r="I942" s="1333"/>
      <c r="J942" s="1333"/>
      <c r="K942" s="1333"/>
      <c r="L942" s="1318">
        <v>0.5</v>
      </c>
      <c r="M942" s="233">
        <f t="shared" si="430"/>
        <v>0</v>
      </c>
      <c r="N942" s="233">
        <f t="shared" si="431"/>
        <v>0</v>
      </c>
      <c r="O942" s="234">
        <f t="shared" si="432"/>
        <v>0</v>
      </c>
      <c r="P942" s="234">
        <f t="shared" si="433"/>
        <v>0</v>
      </c>
      <c r="Q942" s="1341">
        <v>0</v>
      </c>
    </row>
    <row r="943" spans="1:18" hidden="1" outlineLevel="1">
      <c r="A943" s="190" t="s">
        <v>1038</v>
      </c>
      <c r="B943" s="1320" t="s">
        <v>436</v>
      </c>
      <c r="C943" s="1320" t="s">
        <v>591</v>
      </c>
      <c r="D943" s="1321" t="s">
        <v>431</v>
      </c>
      <c r="E943" s="1322">
        <v>1</v>
      </c>
      <c r="F943" s="1324" t="s">
        <v>444</v>
      </c>
      <c r="G943" s="1323">
        <v>12014</v>
      </c>
      <c r="H943" s="239">
        <f t="shared" ref="H943:H947" si="435">SUM(I943:K943)</f>
        <v>0</v>
      </c>
      <c r="I943" s="1335"/>
      <c r="J943" s="1335"/>
      <c r="K943" s="1335"/>
      <c r="L943" s="1322">
        <v>0.5</v>
      </c>
      <c r="M943" s="227">
        <f t="shared" ref="M943:M947" si="436">SUM(N943:P943)-Q943</f>
        <v>0</v>
      </c>
      <c r="N943" s="227">
        <f t="shared" si="431"/>
        <v>0</v>
      </c>
      <c r="O943" s="228">
        <f t="shared" si="432"/>
        <v>0</v>
      </c>
      <c r="P943" s="228">
        <f t="shared" si="433"/>
        <v>0</v>
      </c>
      <c r="Q943" s="1342">
        <v>0</v>
      </c>
    </row>
    <row r="944" spans="1:18" hidden="1" outlineLevel="1">
      <c r="A944" s="190" t="s">
        <v>1038</v>
      </c>
      <c r="B944" s="1316" t="s">
        <v>437</v>
      </c>
      <c r="C944" s="1316" t="s">
        <v>592</v>
      </c>
      <c r="D944" s="1317" t="s">
        <v>431</v>
      </c>
      <c r="E944" s="1318">
        <v>1</v>
      </c>
      <c r="F944" s="1317" t="s">
        <v>868</v>
      </c>
      <c r="G944" s="1315">
        <v>1435</v>
      </c>
      <c r="H944" s="238">
        <f t="shared" si="435"/>
        <v>3.5799999999999997E-4</v>
      </c>
      <c r="I944" s="1333">
        <v>3.5799999999999997E-4</v>
      </c>
      <c r="J944" s="1333"/>
      <c r="K944" s="1333"/>
      <c r="L944" s="1318">
        <v>0.5</v>
      </c>
      <c r="M944" s="233">
        <f t="shared" si="436"/>
        <v>0.25686499999999995</v>
      </c>
      <c r="N944" s="233">
        <f t="shared" si="431"/>
        <v>0.25686499999999995</v>
      </c>
      <c r="O944" s="234">
        <f t="shared" si="432"/>
        <v>0</v>
      </c>
      <c r="P944" s="234">
        <f t="shared" si="433"/>
        <v>0</v>
      </c>
      <c r="Q944" s="1341">
        <v>0</v>
      </c>
    </row>
    <row r="945" spans="1:18" hidden="1" outlineLevel="1">
      <c r="A945" s="190" t="s">
        <v>1038</v>
      </c>
      <c r="B945" s="1316" t="s">
        <v>437</v>
      </c>
      <c r="C945" s="1316" t="s">
        <v>592</v>
      </c>
      <c r="D945" s="1317" t="s">
        <v>431</v>
      </c>
      <c r="E945" s="1318">
        <v>1</v>
      </c>
      <c r="F945" s="1319" t="s">
        <v>441</v>
      </c>
      <c r="G945" s="1315">
        <v>552.89</v>
      </c>
      <c r="H945" s="238">
        <f t="shared" si="435"/>
        <v>6.6E-4</v>
      </c>
      <c r="I945" s="1333">
        <v>6.6E-4</v>
      </c>
      <c r="J945" s="1333"/>
      <c r="K945" s="1333"/>
      <c r="L945" s="1318">
        <v>0.5</v>
      </c>
      <c r="M945" s="233">
        <f t="shared" si="436"/>
        <v>0.1824537</v>
      </c>
      <c r="N945" s="233">
        <f t="shared" si="431"/>
        <v>0.1824537</v>
      </c>
      <c r="O945" s="234">
        <f t="shared" si="432"/>
        <v>0</v>
      </c>
      <c r="P945" s="234">
        <f t="shared" si="433"/>
        <v>0</v>
      </c>
      <c r="Q945" s="1341">
        <v>0</v>
      </c>
    </row>
    <row r="946" spans="1:18" hidden="1" outlineLevel="1">
      <c r="A946" s="190" t="s">
        <v>1038</v>
      </c>
      <c r="B946" s="1316" t="s">
        <v>437</v>
      </c>
      <c r="C946" s="1316" t="s">
        <v>592</v>
      </c>
      <c r="D946" s="1317" t="s">
        <v>431</v>
      </c>
      <c r="E946" s="1318">
        <v>1</v>
      </c>
      <c r="F946" s="1319" t="s">
        <v>443</v>
      </c>
      <c r="G946" s="1315">
        <v>2826</v>
      </c>
      <c r="H946" s="238">
        <f t="shared" si="435"/>
        <v>7.1500000000000003E-4</v>
      </c>
      <c r="I946" s="1333">
        <v>7.1500000000000003E-4</v>
      </c>
      <c r="J946" s="1333"/>
      <c r="K946" s="1333"/>
      <c r="L946" s="1318">
        <v>0.5</v>
      </c>
      <c r="M946" s="233">
        <f t="shared" si="436"/>
        <v>1.0102949999999999</v>
      </c>
      <c r="N946" s="233">
        <f t="shared" si="431"/>
        <v>1.0102949999999999</v>
      </c>
      <c r="O946" s="234">
        <f t="shared" si="432"/>
        <v>0</v>
      </c>
      <c r="P946" s="234">
        <f t="shared" si="433"/>
        <v>0</v>
      </c>
      <c r="Q946" s="1341">
        <v>0</v>
      </c>
    </row>
    <row r="947" spans="1:18" hidden="1" outlineLevel="1">
      <c r="A947" s="190" t="s">
        <v>1038</v>
      </c>
      <c r="B947" s="1320" t="s">
        <v>437</v>
      </c>
      <c r="C947" s="1320" t="s">
        <v>592</v>
      </c>
      <c r="D947" s="1321" t="s">
        <v>431</v>
      </c>
      <c r="E947" s="1322">
        <v>1</v>
      </c>
      <c r="F947" s="1324" t="s">
        <v>444</v>
      </c>
      <c r="G947" s="1323">
        <v>12014</v>
      </c>
      <c r="H947" s="239">
        <f t="shared" si="435"/>
        <v>1.26E-4</v>
      </c>
      <c r="I947" s="1335">
        <v>1.26E-4</v>
      </c>
      <c r="J947" s="1335"/>
      <c r="K947" s="1335"/>
      <c r="L947" s="1322">
        <v>0.5</v>
      </c>
      <c r="M947" s="227">
        <f t="shared" si="436"/>
        <v>0.75688199999999994</v>
      </c>
      <c r="N947" s="227">
        <f t="shared" si="431"/>
        <v>0.75688199999999994</v>
      </c>
      <c r="O947" s="228">
        <f t="shared" si="432"/>
        <v>0</v>
      </c>
      <c r="P947" s="228">
        <f t="shared" si="433"/>
        <v>0</v>
      </c>
      <c r="Q947" s="1342">
        <v>0</v>
      </c>
      <c r="R947" s="519"/>
    </row>
    <row r="948" spans="1:18" hidden="1" outlineLevel="1">
      <c r="A948" s="190" t="s">
        <v>1038</v>
      </c>
      <c r="B948" s="1316" t="s">
        <v>438</v>
      </c>
      <c r="C948" s="1316" t="s">
        <v>593</v>
      </c>
      <c r="D948" s="1317" t="s">
        <v>431</v>
      </c>
      <c r="E948" s="1318">
        <v>1</v>
      </c>
      <c r="F948" s="1319" t="s">
        <v>868</v>
      </c>
      <c r="G948" s="1315">
        <v>1435</v>
      </c>
      <c r="H948" s="238">
        <f>SUM(I948:K948)</f>
        <v>5.3400000000000001E-3</v>
      </c>
      <c r="I948" s="1333">
        <v>5.3400000000000001E-3</v>
      </c>
      <c r="J948" s="1333"/>
      <c r="K948" s="1333"/>
      <c r="L948" s="1318">
        <v>1</v>
      </c>
      <c r="M948" s="233">
        <f>SUM(N948:P948)-Q948</f>
        <v>7.6629000000000005</v>
      </c>
      <c r="N948" s="233">
        <f t="shared" si="431"/>
        <v>7.6629000000000005</v>
      </c>
      <c r="O948" s="234">
        <f t="shared" si="432"/>
        <v>0</v>
      </c>
      <c r="P948" s="234">
        <f>E948*G948*K948*L948*15</f>
        <v>0</v>
      </c>
      <c r="Q948" s="1341">
        <v>0</v>
      </c>
    </row>
    <row r="949" spans="1:18" hidden="1" outlineLevel="1">
      <c r="A949" s="190" t="s">
        <v>1038</v>
      </c>
      <c r="B949" s="1316" t="s">
        <v>438</v>
      </c>
      <c r="C949" s="1316" t="s">
        <v>593</v>
      </c>
      <c r="D949" s="1317" t="s">
        <v>431</v>
      </c>
      <c r="E949" s="1318">
        <v>1</v>
      </c>
      <c r="F949" s="1319" t="s">
        <v>441</v>
      </c>
      <c r="G949" s="1315">
        <v>552.89</v>
      </c>
      <c r="H949" s="238">
        <f t="shared" ref="H949" si="437">SUM(I949:K949)</f>
        <v>7.5650000000000005E-3</v>
      </c>
      <c r="I949" s="1333">
        <v>6.6750000000000004E-3</v>
      </c>
      <c r="J949" s="1333">
        <v>8.8999999999999995E-4</v>
      </c>
      <c r="K949" s="1333"/>
      <c r="L949" s="1318">
        <v>1</v>
      </c>
      <c r="M949" s="233">
        <f t="shared" ref="M949" si="438">SUM(N949:P949)-Q949</f>
        <v>8.6112617500000006</v>
      </c>
      <c r="N949" s="233">
        <f t="shared" si="431"/>
        <v>3.6905407500000003</v>
      </c>
      <c r="O949" s="234">
        <f t="shared" si="432"/>
        <v>4.9207209999999995</v>
      </c>
      <c r="P949" s="234">
        <f t="shared" ref="P949:P969" si="439">E949*G949*K949*L949*15</f>
        <v>0</v>
      </c>
      <c r="Q949" s="1341">
        <v>0</v>
      </c>
    </row>
    <row r="950" spans="1:18" hidden="1" outlineLevel="1">
      <c r="A950" s="190" t="s">
        <v>1038</v>
      </c>
      <c r="B950" s="1316" t="s">
        <v>438</v>
      </c>
      <c r="C950" s="1316" t="s">
        <v>593</v>
      </c>
      <c r="D950" s="1317" t="s">
        <v>431</v>
      </c>
      <c r="E950" s="1318">
        <v>1</v>
      </c>
      <c r="F950" s="1319" t="s">
        <v>442</v>
      </c>
      <c r="G950" s="1315">
        <v>4582</v>
      </c>
      <c r="H950" s="238">
        <f t="shared" ref="H950:H960" si="440">SUM(I950:K950)</f>
        <v>0</v>
      </c>
      <c r="I950" s="1333"/>
      <c r="J950" s="1333"/>
      <c r="K950" s="1333"/>
      <c r="L950" s="1318">
        <v>1</v>
      </c>
      <c r="M950" s="233">
        <f t="shared" ref="M950:M960" si="441">SUM(N950:P950)-Q950</f>
        <v>0</v>
      </c>
      <c r="N950" s="233">
        <f t="shared" si="431"/>
        <v>0</v>
      </c>
      <c r="O950" s="234">
        <f t="shared" si="432"/>
        <v>0</v>
      </c>
      <c r="P950" s="234">
        <f t="shared" si="439"/>
        <v>0</v>
      </c>
      <c r="Q950" s="1341">
        <v>0</v>
      </c>
    </row>
    <row r="951" spans="1:18" hidden="1" outlineLevel="1">
      <c r="A951" s="190" t="s">
        <v>1038</v>
      </c>
      <c r="B951" s="1316" t="s">
        <v>438</v>
      </c>
      <c r="C951" s="1316" t="s">
        <v>593</v>
      </c>
      <c r="D951" s="1317" t="s">
        <v>431</v>
      </c>
      <c r="E951" s="1318">
        <v>1</v>
      </c>
      <c r="F951" s="1319" t="s">
        <v>443</v>
      </c>
      <c r="G951" s="1315">
        <v>2826</v>
      </c>
      <c r="H951" s="238">
        <f t="shared" si="440"/>
        <v>5.7850000000000002E-3</v>
      </c>
      <c r="I951" s="1333">
        <v>5.7850000000000002E-3</v>
      </c>
      <c r="J951" s="1333"/>
      <c r="K951" s="1333"/>
      <c r="L951" s="1318">
        <v>1</v>
      </c>
      <c r="M951" s="233">
        <f t="shared" si="441"/>
        <v>16.348410000000001</v>
      </c>
      <c r="N951" s="233">
        <f t="shared" si="431"/>
        <v>16.348410000000001</v>
      </c>
      <c r="O951" s="234">
        <f t="shared" si="432"/>
        <v>0</v>
      </c>
      <c r="P951" s="234">
        <f t="shared" si="439"/>
        <v>0</v>
      </c>
      <c r="Q951" s="1341">
        <v>0</v>
      </c>
    </row>
    <row r="952" spans="1:18" hidden="1" outlineLevel="1">
      <c r="A952" s="190" t="s">
        <v>1038</v>
      </c>
      <c r="B952" s="1316" t="s">
        <v>438</v>
      </c>
      <c r="C952" s="1316" t="s">
        <v>593</v>
      </c>
      <c r="D952" s="1317" t="s">
        <v>431</v>
      </c>
      <c r="E952" s="1318">
        <v>1</v>
      </c>
      <c r="F952" s="1319" t="s">
        <v>444</v>
      </c>
      <c r="G952" s="1315">
        <v>12014</v>
      </c>
      <c r="H952" s="238">
        <f t="shared" si="440"/>
        <v>7.9999999999999993E-4</v>
      </c>
      <c r="I952" s="1333">
        <v>2.22E-4</v>
      </c>
      <c r="J952" s="1333">
        <v>5.7799999999999995E-4</v>
      </c>
      <c r="K952" s="1333"/>
      <c r="L952" s="1318">
        <v>1</v>
      </c>
      <c r="M952" s="233">
        <f t="shared" si="441"/>
        <v>72.10802799999999</v>
      </c>
      <c r="N952" s="233">
        <f t="shared" si="431"/>
        <v>2.6671079999999998</v>
      </c>
      <c r="O952" s="234">
        <f t="shared" si="432"/>
        <v>69.440919999999991</v>
      </c>
      <c r="P952" s="234">
        <f t="shared" si="439"/>
        <v>0</v>
      </c>
      <c r="Q952" s="1341">
        <v>0</v>
      </c>
    </row>
    <row r="953" spans="1:18" hidden="1" outlineLevel="1">
      <c r="A953" s="190" t="s">
        <v>1038</v>
      </c>
      <c r="B953" s="1320" t="s">
        <v>438</v>
      </c>
      <c r="C953" s="1320" t="s">
        <v>593</v>
      </c>
      <c r="D953" s="1321" t="s">
        <v>431</v>
      </c>
      <c r="E953" s="1322">
        <v>1</v>
      </c>
      <c r="F953" s="1324" t="s">
        <v>445</v>
      </c>
      <c r="G953" s="1323">
        <v>24326</v>
      </c>
      <c r="H953" s="239">
        <f t="shared" si="440"/>
        <v>0</v>
      </c>
      <c r="I953" s="1335"/>
      <c r="J953" s="1335"/>
      <c r="K953" s="1335"/>
      <c r="L953" s="1322">
        <v>1</v>
      </c>
      <c r="M953" s="227">
        <f t="shared" si="441"/>
        <v>0</v>
      </c>
      <c r="N953" s="227">
        <f t="shared" si="431"/>
        <v>0</v>
      </c>
      <c r="O953" s="228">
        <f t="shared" si="432"/>
        <v>0</v>
      </c>
      <c r="P953" s="228">
        <f t="shared" si="439"/>
        <v>0</v>
      </c>
      <c r="Q953" s="1342">
        <v>0</v>
      </c>
      <c r="R953" s="519"/>
    </row>
    <row r="954" spans="1:18" hidden="1" outlineLevel="1">
      <c r="A954" s="190" t="s">
        <v>1038</v>
      </c>
      <c r="B954" s="1316" t="s">
        <v>418</v>
      </c>
      <c r="C954" s="1316" t="s">
        <v>439</v>
      </c>
      <c r="D954" s="1317" t="s">
        <v>431</v>
      </c>
      <c r="E954" s="1318">
        <v>1.5</v>
      </c>
      <c r="F954" s="1319" t="s">
        <v>868</v>
      </c>
      <c r="G954" s="1315">
        <v>1435</v>
      </c>
      <c r="H954" s="238">
        <f t="shared" si="440"/>
        <v>1.0625000000000001E-2</v>
      </c>
      <c r="I954" s="1333">
        <v>1.0625000000000001E-2</v>
      </c>
      <c r="J954" s="1333"/>
      <c r="K954" s="1333"/>
      <c r="L954" s="1318">
        <v>0.5</v>
      </c>
      <c r="M954" s="233">
        <f t="shared" si="441"/>
        <v>11.43515625</v>
      </c>
      <c r="N954" s="233">
        <f t="shared" si="431"/>
        <v>11.43515625</v>
      </c>
      <c r="O954" s="234">
        <f t="shared" si="432"/>
        <v>0</v>
      </c>
      <c r="P954" s="234">
        <f t="shared" si="439"/>
        <v>0</v>
      </c>
      <c r="Q954" s="1341">
        <v>0</v>
      </c>
    </row>
    <row r="955" spans="1:18" hidden="1" outlineLevel="1">
      <c r="A955" s="190" t="s">
        <v>1038</v>
      </c>
      <c r="B955" s="1316" t="s">
        <v>418</v>
      </c>
      <c r="C955" s="1316" t="s">
        <v>439</v>
      </c>
      <c r="D955" s="1317" t="s">
        <v>431</v>
      </c>
      <c r="E955" s="1318">
        <v>1.5</v>
      </c>
      <c r="F955" s="1319" t="s">
        <v>441</v>
      </c>
      <c r="G955" s="1315">
        <v>552.89</v>
      </c>
      <c r="H955" s="238">
        <f t="shared" si="440"/>
        <v>5.0999999999999997E-2</v>
      </c>
      <c r="I955" s="1333">
        <v>5.0999999999999997E-2</v>
      </c>
      <c r="J955" s="1333"/>
      <c r="K955" s="1333"/>
      <c r="L955" s="1318">
        <v>0.5</v>
      </c>
      <c r="M955" s="233">
        <f t="shared" si="441"/>
        <v>21.148042499999999</v>
      </c>
      <c r="N955" s="233">
        <f t="shared" si="431"/>
        <v>21.148042499999999</v>
      </c>
      <c r="O955" s="234">
        <f t="shared" si="432"/>
        <v>0</v>
      </c>
      <c r="P955" s="234">
        <f t="shared" si="439"/>
        <v>0</v>
      </c>
      <c r="Q955" s="1341">
        <v>0</v>
      </c>
    </row>
    <row r="956" spans="1:18" hidden="1" outlineLevel="1">
      <c r="A956" s="190" t="s">
        <v>1038</v>
      </c>
      <c r="B956" s="1316" t="s">
        <v>418</v>
      </c>
      <c r="C956" s="1316" t="s">
        <v>439</v>
      </c>
      <c r="D956" s="1317" t="s">
        <v>431</v>
      </c>
      <c r="E956" s="1318">
        <v>1.5</v>
      </c>
      <c r="F956" s="1319" t="s">
        <v>442</v>
      </c>
      <c r="G956" s="1315">
        <v>4582</v>
      </c>
      <c r="H956" s="238">
        <f t="shared" si="440"/>
        <v>0</v>
      </c>
      <c r="I956" s="1333"/>
      <c r="J956" s="1333"/>
      <c r="K956" s="1333"/>
      <c r="L956" s="1318">
        <v>0.5</v>
      </c>
      <c r="M956" s="233">
        <f t="shared" si="441"/>
        <v>0</v>
      </c>
      <c r="N956" s="233">
        <f t="shared" si="431"/>
        <v>0</v>
      </c>
      <c r="O956" s="234">
        <f t="shared" si="432"/>
        <v>0</v>
      </c>
      <c r="P956" s="234">
        <f t="shared" si="439"/>
        <v>0</v>
      </c>
      <c r="Q956" s="1341">
        <v>0</v>
      </c>
    </row>
    <row r="957" spans="1:18" hidden="1" outlineLevel="1">
      <c r="A957" s="190" t="s">
        <v>1038</v>
      </c>
      <c r="B957" s="1316" t="s">
        <v>418</v>
      </c>
      <c r="C957" s="1316" t="s">
        <v>439</v>
      </c>
      <c r="D957" s="1317" t="s">
        <v>431</v>
      </c>
      <c r="E957" s="1318">
        <v>1.5</v>
      </c>
      <c r="F957" s="1319" t="s">
        <v>443</v>
      </c>
      <c r="G957" s="1315">
        <v>2826</v>
      </c>
      <c r="H957" s="238">
        <f t="shared" si="440"/>
        <v>1.4024999999999999E-2</v>
      </c>
      <c r="I957" s="1333">
        <v>1.4024999999999999E-2</v>
      </c>
      <c r="J957" s="1333"/>
      <c r="K957" s="1333"/>
      <c r="L957" s="1318">
        <v>0.5</v>
      </c>
      <c r="M957" s="233">
        <f t="shared" si="441"/>
        <v>29.725987499999999</v>
      </c>
      <c r="N957" s="233">
        <f t="shared" si="431"/>
        <v>29.725987499999999</v>
      </c>
      <c r="O957" s="234">
        <f t="shared" si="432"/>
        <v>0</v>
      </c>
      <c r="P957" s="234">
        <f t="shared" si="439"/>
        <v>0</v>
      </c>
      <c r="Q957" s="1341">
        <v>0</v>
      </c>
    </row>
    <row r="958" spans="1:18" hidden="1" outlineLevel="1">
      <c r="A958" s="190" t="s">
        <v>1038</v>
      </c>
      <c r="B958" s="1316" t="s">
        <v>418</v>
      </c>
      <c r="C958" s="1316" t="s">
        <v>439</v>
      </c>
      <c r="D958" s="1317" t="s">
        <v>431</v>
      </c>
      <c r="E958" s="1318">
        <v>1.5</v>
      </c>
      <c r="F958" s="1319" t="s">
        <v>444</v>
      </c>
      <c r="G958" s="1315">
        <v>12014</v>
      </c>
      <c r="H958" s="238">
        <f t="shared" si="440"/>
        <v>3.3999999999999998E-3</v>
      </c>
      <c r="I958" s="1333">
        <v>3.3999999999999998E-3</v>
      </c>
      <c r="J958" s="1333"/>
      <c r="K958" s="1333"/>
      <c r="L958" s="1318">
        <v>0.5</v>
      </c>
      <c r="M958" s="233">
        <f t="shared" si="441"/>
        <v>30.6357</v>
      </c>
      <c r="N958" s="233">
        <f t="shared" si="431"/>
        <v>30.6357</v>
      </c>
      <c r="O958" s="234">
        <f t="shared" si="432"/>
        <v>0</v>
      </c>
      <c r="P958" s="234">
        <f t="shared" si="439"/>
        <v>0</v>
      </c>
      <c r="Q958" s="1341">
        <v>0</v>
      </c>
    </row>
    <row r="959" spans="1:18" hidden="1" outlineLevel="1">
      <c r="A959" s="190" t="s">
        <v>1038</v>
      </c>
      <c r="B959" s="1320" t="s">
        <v>418</v>
      </c>
      <c r="C959" s="1320" t="s">
        <v>439</v>
      </c>
      <c r="D959" s="1321" t="s">
        <v>431</v>
      </c>
      <c r="E959" s="1322">
        <v>1.5</v>
      </c>
      <c r="F959" s="1324" t="s">
        <v>445</v>
      </c>
      <c r="G959" s="1323">
        <v>24326</v>
      </c>
      <c r="H959" s="239">
        <f t="shared" si="440"/>
        <v>0</v>
      </c>
      <c r="I959" s="1335"/>
      <c r="J959" s="1335"/>
      <c r="K959" s="1335"/>
      <c r="L959" s="1322">
        <v>0.5</v>
      </c>
      <c r="M959" s="227">
        <f t="shared" si="441"/>
        <v>0</v>
      </c>
      <c r="N959" s="227">
        <f t="shared" si="431"/>
        <v>0</v>
      </c>
      <c r="O959" s="228">
        <f t="shared" si="432"/>
        <v>0</v>
      </c>
      <c r="P959" s="228">
        <f t="shared" si="439"/>
        <v>0</v>
      </c>
      <c r="Q959" s="1342">
        <v>0</v>
      </c>
    </row>
    <row r="960" spans="1:18" hidden="1" outlineLevel="1">
      <c r="A960" s="190" t="s">
        <v>1038</v>
      </c>
      <c r="B960" s="1316" t="s">
        <v>411</v>
      </c>
      <c r="C960" s="1316" t="s">
        <v>440</v>
      </c>
      <c r="D960" s="1317" t="s">
        <v>431</v>
      </c>
      <c r="E960" s="1318">
        <v>1.5</v>
      </c>
      <c r="F960" s="1319" t="s">
        <v>868</v>
      </c>
      <c r="G960" s="1315">
        <v>1435</v>
      </c>
      <c r="H960" s="238">
        <f t="shared" si="440"/>
        <v>2.0730000000000002E-3</v>
      </c>
      <c r="I960" s="1333">
        <v>2.0730000000000002E-3</v>
      </c>
      <c r="J960" s="1333"/>
      <c r="K960" s="1333"/>
      <c r="L960" s="1318">
        <v>0.5</v>
      </c>
      <c r="M960" s="233">
        <f t="shared" si="441"/>
        <v>2.23106625</v>
      </c>
      <c r="N960" s="233">
        <f t="shared" si="431"/>
        <v>2.23106625</v>
      </c>
      <c r="O960" s="234">
        <f t="shared" si="432"/>
        <v>0</v>
      </c>
      <c r="P960" s="234">
        <f t="shared" si="439"/>
        <v>0</v>
      </c>
      <c r="Q960" s="1341">
        <v>0</v>
      </c>
    </row>
    <row r="961" spans="1:20" hidden="1" outlineLevel="1">
      <c r="A961" s="190" t="s">
        <v>1038</v>
      </c>
      <c r="B961" s="1316" t="s">
        <v>411</v>
      </c>
      <c r="C961" s="1316" t="s">
        <v>440</v>
      </c>
      <c r="D961" s="1317" t="s">
        <v>431</v>
      </c>
      <c r="E961" s="1318">
        <v>1.5</v>
      </c>
      <c r="F961" s="1317" t="s">
        <v>441</v>
      </c>
      <c r="G961" s="1315">
        <v>552.89</v>
      </c>
      <c r="H961" s="238">
        <f t="shared" ref="H961" si="442">SUM(I961:K961)</f>
        <v>5.9220000000000002E-3</v>
      </c>
      <c r="I961" s="1333">
        <v>5.9220000000000002E-3</v>
      </c>
      <c r="J961" s="1333"/>
      <c r="K961" s="1333"/>
      <c r="L961" s="1318">
        <v>0.5</v>
      </c>
      <c r="M961" s="233">
        <f t="shared" ref="M961:M969" si="443">SUM(N961:P961)-Q961</f>
        <v>2.455660935</v>
      </c>
      <c r="N961" s="233">
        <f t="shared" si="431"/>
        <v>2.455660935</v>
      </c>
      <c r="O961" s="234">
        <f t="shared" si="432"/>
        <v>0</v>
      </c>
      <c r="P961" s="234">
        <f t="shared" si="439"/>
        <v>0</v>
      </c>
      <c r="Q961" s="1341">
        <v>0</v>
      </c>
    </row>
    <row r="962" spans="1:20" hidden="1" outlineLevel="1">
      <c r="A962" s="190" t="s">
        <v>1038</v>
      </c>
      <c r="B962" s="1316" t="s">
        <v>411</v>
      </c>
      <c r="C962" s="1316" t="s">
        <v>440</v>
      </c>
      <c r="D962" s="1317" t="s">
        <v>431</v>
      </c>
      <c r="E962" s="1318">
        <v>1.5</v>
      </c>
      <c r="F962" s="1319" t="s">
        <v>442</v>
      </c>
      <c r="G962" s="1315">
        <v>4582</v>
      </c>
      <c r="H962" s="238">
        <f>SUM(I962:K962)</f>
        <v>0</v>
      </c>
      <c r="I962" s="1333"/>
      <c r="J962" s="1333"/>
      <c r="K962" s="1333"/>
      <c r="L962" s="1318">
        <v>0.5</v>
      </c>
      <c r="M962" s="233">
        <f t="shared" si="443"/>
        <v>0</v>
      </c>
      <c r="N962" s="233">
        <f t="shared" si="431"/>
        <v>0</v>
      </c>
      <c r="O962" s="234">
        <f t="shared" si="432"/>
        <v>0</v>
      </c>
      <c r="P962" s="234">
        <f t="shared" si="439"/>
        <v>0</v>
      </c>
      <c r="Q962" s="1341">
        <v>0</v>
      </c>
    </row>
    <row r="963" spans="1:20" hidden="1" outlineLevel="1">
      <c r="A963" s="190" t="s">
        <v>1038</v>
      </c>
      <c r="B963" s="1316" t="s">
        <v>411</v>
      </c>
      <c r="C963" s="1316" t="s">
        <v>440</v>
      </c>
      <c r="D963" s="1317" t="s">
        <v>431</v>
      </c>
      <c r="E963" s="1318">
        <v>1.5</v>
      </c>
      <c r="F963" s="1319" t="s">
        <v>443</v>
      </c>
      <c r="G963" s="1315">
        <v>2826</v>
      </c>
      <c r="H963" s="238">
        <f t="shared" ref="H963:H969" si="444">SUM(I963:K963)</f>
        <v>6.3169999999999997E-3</v>
      </c>
      <c r="I963" s="1333">
        <v>6.3169999999999997E-3</v>
      </c>
      <c r="J963" s="1333"/>
      <c r="K963" s="1333"/>
      <c r="L963" s="1318">
        <v>0.5</v>
      </c>
      <c r="M963" s="233">
        <f t="shared" si="443"/>
        <v>13.3888815</v>
      </c>
      <c r="N963" s="233">
        <f t="shared" si="431"/>
        <v>13.3888815</v>
      </c>
      <c r="O963" s="234">
        <f t="shared" si="432"/>
        <v>0</v>
      </c>
      <c r="P963" s="234">
        <f t="shared" si="439"/>
        <v>0</v>
      </c>
      <c r="Q963" s="1341">
        <v>0</v>
      </c>
    </row>
    <row r="964" spans="1:20" hidden="1" outlineLevel="1">
      <c r="A964" s="190" t="s">
        <v>1038</v>
      </c>
      <c r="B964" s="1320" t="s">
        <v>411</v>
      </c>
      <c r="C964" s="1320" t="s">
        <v>440</v>
      </c>
      <c r="D964" s="1321" t="s">
        <v>431</v>
      </c>
      <c r="E964" s="1322">
        <v>1.5</v>
      </c>
      <c r="F964" s="1324" t="s">
        <v>444</v>
      </c>
      <c r="G964" s="1323">
        <v>12014</v>
      </c>
      <c r="H964" s="239">
        <f t="shared" si="444"/>
        <v>4.64E-4</v>
      </c>
      <c r="I964" s="1335">
        <v>4.64E-4</v>
      </c>
      <c r="J964" s="1335"/>
      <c r="K964" s="1335"/>
      <c r="L964" s="1322">
        <v>0.5</v>
      </c>
      <c r="M964" s="227">
        <f t="shared" si="443"/>
        <v>4.1808719999999999</v>
      </c>
      <c r="N964" s="227">
        <f t="shared" si="431"/>
        <v>4.1808719999999999</v>
      </c>
      <c r="O964" s="228">
        <f t="shared" si="432"/>
        <v>0</v>
      </c>
      <c r="P964" s="228">
        <f t="shared" si="439"/>
        <v>0</v>
      </c>
      <c r="Q964" s="1342">
        <v>0</v>
      </c>
    </row>
    <row r="965" spans="1:20" hidden="1" outlineLevel="1">
      <c r="A965" s="190" t="s">
        <v>1038</v>
      </c>
      <c r="B965" s="1316" t="s">
        <v>409</v>
      </c>
      <c r="C965" s="1316" t="s">
        <v>594</v>
      </c>
      <c r="D965" s="1317" t="s">
        <v>431</v>
      </c>
      <c r="E965" s="1318">
        <v>1</v>
      </c>
      <c r="F965" s="1319" t="s">
        <v>868</v>
      </c>
      <c r="G965" s="1315">
        <v>1435</v>
      </c>
      <c r="H965" s="238">
        <f t="shared" si="444"/>
        <v>7.76E-4</v>
      </c>
      <c r="I965" s="1333">
        <v>7.76E-4</v>
      </c>
      <c r="J965" s="1333"/>
      <c r="K965" s="1333"/>
      <c r="L965" s="1318">
        <v>0.5</v>
      </c>
      <c r="M965" s="233">
        <f t="shared" si="443"/>
        <v>0.55678000000000005</v>
      </c>
      <c r="N965" s="233">
        <f t="shared" si="431"/>
        <v>0.55678000000000005</v>
      </c>
      <c r="O965" s="234">
        <f t="shared" si="432"/>
        <v>0</v>
      </c>
      <c r="P965" s="234">
        <f t="shared" si="439"/>
        <v>0</v>
      </c>
      <c r="Q965" s="1341">
        <v>0</v>
      </c>
      <c r="T965" s="519"/>
    </row>
    <row r="966" spans="1:20" hidden="1" outlineLevel="1">
      <c r="A966" s="190" t="s">
        <v>1038</v>
      </c>
      <c r="B966" s="1316" t="s">
        <v>409</v>
      </c>
      <c r="C966" s="1316" t="s">
        <v>594</v>
      </c>
      <c r="D966" s="1317" t="s">
        <v>431</v>
      </c>
      <c r="E966" s="1318">
        <v>1</v>
      </c>
      <c r="F966" s="1317" t="s">
        <v>441</v>
      </c>
      <c r="G966" s="1315">
        <v>552.89</v>
      </c>
      <c r="H966" s="238">
        <f t="shared" si="444"/>
        <v>1.0574999999999999E-2</v>
      </c>
      <c r="I966" s="1333">
        <v>1.0574999999999999E-2</v>
      </c>
      <c r="J966" s="1333"/>
      <c r="K966" s="1333"/>
      <c r="L966" s="1318">
        <v>0.5</v>
      </c>
      <c r="M966" s="233">
        <f t="shared" si="443"/>
        <v>2.9234058749999998</v>
      </c>
      <c r="N966" s="233">
        <f t="shared" si="431"/>
        <v>2.9234058749999998</v>
      </c>
      <c r="O966" s="234">
        <f t="shared" si="432"/>
        <v>0</v>
      </c>
      <c r="P966" s="234">
        <f t="shared" si="439"/>
        <v>0</v>
      </c>
      <c r="Q966" s="1341">
        <v>0</v>
      </c>
    </row>
    <row r="967" spans="1:20" hidden="1" outlineLevel="1">
      <c r="A967" s="190" t="s">
        <v>1038</v>
      </c>
      <c r="B967" s="1316" t="s">
        <v>409</v>
      </c>
      <c r="C967" s="1316" t="s">
        <v>594</v>
      </c>
      <c r="D967" s="1317" t="s">
        <v>431</v>
      </c>
      <c r="E967" s="1318">
        <v>1</v>
      </c>
      <c r="F967" s="1319" t="s">
        <v>442</v>
      </c>
      <c r="G967" s="1315">
        <v>4582</v>
      </c>
      <c r="H967" s="238">
        <f t="shared" si="444"/>
        <v>0</v>
      </c>
      <c r="I967" s="1333"/>
      <c r="J967" s="1333"/>
      <c r="K967" s="1333"/>
      <c r="L967" s="1318">
        <v>0.5</v>
      </c>
      <c r="M967" s="233">
        <f t="shared" si="443"/>
        <v>0</v>
      </c>
      <c r="N967" s="233">
        <f t="shared" si="431"/>
        <v>0</v>
      </c>
      <c r="O967" s="234">
        <f t="shared" si="432"/>
        <v>0</v>
      </c>
      <c r="P967" s="234">
        <f t="shared" si="439"/>
        <v>0</v>
      </c>
      <c r="Q967" s="1341">
        <v>0</v>
      </c>
    </row>
    <row r="968" spans="1:20" hidden="1" outlineLevel="1">
      <c r="A968" s="190" t="s">
        <v>1038</v>
      </c>
      <c r="B968" s="1316" t="s">
        <v>409</v>
      </c>
      <c r="C968" s="1316" t="s">
        <v>594</v>
      </c>
      <c r="D968" s="1317" t="s">
        <v>431</v>
      </c>
      <c r="E968" s="1318">
        <v>1</v>
      </c>
      <c r="F968" s="1319" t="s">
        <v>443</v>
      </c>
      <c r="G968" s="1315">
        <v>2826</v>
      </c>
      <c r="H968" s="238">
        <f t="shared" si="444"/>
        <v>2.4680000000000001E-3</v>
      </c>
      <c r="I968" s="1333">
        <v>2.4680000000000001E-3</v>
      </c>
      <c r="J968" s="1333"/>
      <c r="K968" s="1333"/>
      <c r="L968" s="1318">
        <v>0.5</v>
      </c>
      <c r="M968" s="235">
        <f t="shared" si="443"/>
        <v>3.4872840000000003</v>
      </c>
      <c r="N968" s="233">
        <f t="shared" si="431"/>
        <v>3.4872840000000003</v>
      </c>
      <c r="O968" s="234">
        <f t="shared" si="432"/>
        <v>0</v>
      </c>
      <c r="P968" s="234">
        <f t="shared" si="439"/>
        <v>0</v>
      </c>
      <c r="Q968" s="1341">
        <v>0</v>
      </c>
    </row>
    <row r="969" spans="1:20" hidden="1" outlineLevel="1">
      <c r="A969" s="191" t="s">
        <v>1038</v>
      </c>
      <c r="B969" s="1320" t="s">
        <v>409</v>
      </c>
      <c r="C969" s="1320" t="s">
        <v>594</v>
      </c>
      <c r="D969" s="1321" t="s">
        <v>431</v>
      </c>
      <c r="E969" s="1322">
        <v>1</v>
      </c>
      <c r="F969" s="1324" t="s">
        <v>444</v>
      </c>
      <c r="G969" s="1323">
        <v>12014</v>
      </c>
      <c r="H969" s="239">
        <f t="shared" si="444"/>
        <v>1.6200000000000001E-4</v>
      </c>
      <c r="I969" s="1335">
        <v>1.6200000000000001E-4</v>
      </c>
      <c r="J969" s="1335"/>
      <c r="K969" s="1335"/>
      <c r="L969" s="1322">
        <v>0.5</v>
      </c>
      <c r="M969" s="267">
        <f t="shared" si="443"/>
        <v>0.97313400000000005</v>
      </c>
      <c r="N969" s="227">
        <f t="shared" si="431"/>
        <v>0.97313400000000005</v>
      </c>
      <c r="O969" s="228">
        <f t="shared" si="432"/>
        <v>0</v>
      </c>
      <c r="P969" s="228">
        <f t="shared" si="439"/>
        <v>0</v>
      </c>
      <c r="Q969" s="1342">
        <v>0</v>
      </c>
      <c r="R969" s="512">
        <f>SUM(M928:M969)</f>
        <v>6543.3495746199987</v>
      </c>
      <c r="T969" s="519"/>
    </row>
    <row r="970" spans="1:20" hidden="1" outlineLevel="1">
      <c r="A970" s="771" t="s">
        <v>1038</v>
      </c>
      <c r="B970" s="1308" t="s">
        <v>434</v>
      </c>
      <c r="C970" s="1308" t="s">
        <v>435</v>
      </c>
      <c r="D970" s="1309" t="s">
        <v>432</v>
      </c>
      <c r="E970" s="1310">
        <v>1</v>
      </c>
      <c r="F970" s="1309" t="s">
        <v>868</v>
      </c>
      <c r="G970" s="1315">
        <v>1579</v>
      </c>
      <c r="H970" s="778">
        <f>SUM(I970:K970)</f>
        <v>6.0544000000000001E-2</v>
      </c>
      <c r="I970" s="1329">
        <v>6.0544000000000001E-2</v>
      </c>
      <c r="J970" s="1329"/>
      <c r="K970" s="1329"/>
      <c r="L970" s="1318">
        <v>1</v>
      </c>
      <c r="M970" s="772">
        <f>SUM(N970:P970)-Q970</f>
        <v>95.598976000000008</v>
      </c>
      <c r="N970" s="772">
        <f t="shared" si="431"/>
        <v>95.598976000000008</v>
      </c>
      <c r="O970" s="773">
        <f t="shared" si="432"/>
        <v>0</v>
      </c>
      <c r="P970" s="773">
        <f>E970*G970*K970*L970*15</f>
        <v>0</v>
      </c>
      <c r="Q970" s="1339">
        <v>0</v>
      </c>
      <c r="R970" s="774"/>
    </row>
    <row r="971" spans="1:20" hidden="1" outlineLevel="1">
      <c r="A971" s="190" t="s">
        <v>1038</v>
      </c>
      <c r="B971" s="1312" t="s">
        <v>434</v>
      </c>
      <c r="C971" s="1312" t="s">
        <v>435</v>
      </c>
      <c r="D971" s="1313" t="s">
        <v>432</v>
      </c>
      <c r="E971" s="1314">
        <v>1</v>
      </c>
      <c r="F971" s="1319" t="s">
        <v>441</v>
      </c>
      <c r="G971" s="1315">
        <v>580.53</v>
      </c>
      <c r="H971" s="237">
        <f t="shared" ref="H971:H972" si="445">SUM(I971:K971)</f>
        <v>8.8064000000000003E-2</v>
      </c>
      <c r="I971" s="1331">
        <v>8.8064000000000003E-2</v>
      </c>
      <c r="J971" s="1331"/>
      <c r="K971" s="1331"/>
      <c r="L971" s="1318">
        <v>1</v>
      </c>
      <c r="M971" s="223">
        <f t="shared" ref="M971:M972" si="446">SUM(N971:P971)-Q971</f>
        <v>51.123793919999997</v>
      </c>
      <c r="N971" s="223">
        <f t="shared" si="431"/>
        <v>51.123793919999997</v>
      </c>
      <c r="O971" s="224">
        <f t="shared" si="432"/>
        <v>0</v>
      </c>
      <c r="P971" s="224">
        <f t="shared" ref="P971:P972" si="447">E971*G971*K971*L971*15</f>
        <v>0</v>
      </c>
      <c r="Q971" s="1340">
        <v>0</v>
      </c>
    </row>
    <row r="972" spans="1:20" hidden="1" outlineLevel="1">
      <c r="A972" s="190" t="s">
        <v>1038</v>
      </c>
      <c r="B972" s="1316" t="s">
        <v>434</v>
      </c>
      <c r="C972" s="1316" t="s">
        <v>435</v>
      </c>
      <c r="D972" s="1313" t="s">
        <v>432</v>
      </c>
      <c r="E972" s="1318">
        <v>1</v>
      </c>
      <c r="F972" s="1319" t="s">
        <v>442</v>
      </c>
      <c r="G972" s="1315">
        <v>4811</v>
      </c>
      <c r="H972" s="238">
        <f t="shared" si="445"/>
        <v>0</v>
      </c>
      <c r="I972" s="1333"/>
      <c r="J972" s="1333"/>
      <c r="K972" s="1333"/>
      <c r="L972" s="1318">
        <v>1</v>
      </c>
      <c r="M972" s="233">
        <f t="shared" si="446"/>
        <v>0</v>
      </c>
      <c r="N972" s="233">
        <f t="shared" si="431"/>
        <v>0</v>
      </c>
      <c r="O972" s="234">
        <f t="shared" si="432"/>
        <v>0</v>
      </c>
      <c r="P972" s="234">
        <f t="shared" si="447"/>
        <v>0</v>
      </c>
      <c r="Q972" s="1341">
        <v>0</v>
      </c>
    </row>
    <row r="973" spans="1:20" hidden="1" outlineLevel="1">
      <c r="A973" s="190" t="s">
        <v>1038</v>
      </c>
      <c r="B973" s="1316" t="s">
        <v>434</v>
      </c>
      <c r="C973" s="1316" t="s">
        <v>435</v>
      </c>
      <c r="D973" s="1317" t="s">
        <v>432</v>
      </c>
      <c r="E973" s="1318">
        <v>1</v>
      </c>
      <c r="F973" s="1319" t="s">
        <v>443</v>
      </c>
      <c r="G973" s="1315">
        <v>3250</v>
      </c>
      <c r="H973" s="238">
        <f>SUM(I973:K973)</f>
        <v>0.25318400000000002</v>
      </c>
      <c r="I973" s="1333">
        <v>0.25318400000000002</v>
      </c>
      <c r="J973" s="1333"/>
      <c r="K973" s="1333"/>
      <c r="L973" s="1318">
        <v>1</v>
      </c>
      <c r="M973" s="233">
        <f>SUM(N973:P973)-Q973</f>
        <v>822.84800000000007</v>
      </c>
      <c r="N973" s="233">
        <f t="shared" si="431"/>
        <v>822.84800000000007</v>
      </c>
      <c r="O973" s="234">
        <f t="shared" si="432"/>
        <v>0</v>
      </c>
      <c r="P973" s="234">
        <f>E973*G973*K973*L973*15</f>
        <v>0</v>
      </c>
      <c r="Q973" s="1341">
        <v>0</v>
      </c>
    </row>
    <row r="974" spans="1:20" hidden="1" outlineLevel="1">
      <c r="A974" s="190" t="s">
        <v>1038</v>
      </c>
      <c r="B974" s="1316" t="s">
        <v>434</v>
      </c>
      <c r="C974" s="1316" t="s">
        <v>435</v>
      </c>
      <c r="D974" s="1317" t="s">
        <v>432</v>
      </c>
      <c r="E974" s="1318">
        <v>1</v>
      </c>
      <c r="F974" s="1317" t="s">
        <v>444</v>
      </c>
      <c r="G974" s="1315">
        <v>13816</v>
      </c>
      <c r="H974" s="238">
        <f>SUM(I974:K974)</f>
        <v>3.1923E-2</v>
      </c>
      <c r="I974" s="1333">
        <v>1.1008E-2</v>
      </c>
      <c r="J974" s="1333">
        <v>2.0915E-2</v>
      </c>
      <c r="K974" s="1333"/>
      <c r="L974" s="1318">
        <v>1</v>
      </c>
      <c r="M974" s="233">
        <f>SUM(N974:P974)-Q974</f>
        <v>3041.7029279999997</v>
      </c>
      <c r="N974" s="233">
        <f t="shared" si="431"/>
        <v>152.08652800000002</v>
      </c>
      <c r="O974" s="234">
        <f t="shared" si="432"/>
        <v>2889.6163999999999</v>
      </c>
      <c r="P974" s="234">
        <f>E974*G974*K974*L974*15</f>
        <v>0</v>
      </c>
      <c r="Q974" s="1341">
        <v>0</v>
      </c>
    </row>
    <row r="975" spans="1:20" hidden="1" outlineLevel="1">
      <c r="A975" s="190" t="s">
        <v>1038</v>
      </c>
      <c r="B975" s="1320" t="s">
        <v>434</v>
      </c>
      <c r="C975" s="1320" t="s">
        <v>435</v>
      </c>
      <c r="D975" s="1321" t="s">
        <v>432</v>
      </c>
      <c r="E975" s="1322">
        <v>1</v>
      </c>
      <c r="F975" s="1324" t="s">
        <v>445</v>
      </c>
      <c r="G975" s="1323">
        <v>27975</v>
      </c>
      <c r="H975" s="239">
        <f t="shared" ref="H975:H982" si="448">SUM(I975:K975)</f>
        <v>0</v>
      </c>
      <c r="I975" s="1335"/>
      <c r="J975" s="1335"/>
      <c r="K975" s="1335"/>
      <c r="L975" s="1322">
        <v>1</v>
      </c>
      <c r="M975" s="227">
        <f t="shared" ref="M975" si="449">SUM(N975:P975)-Q975</f>
        <v>0</v>
      </c>
      <c r="N975" s="227">
        <f t="shared" si="431"/>
        <v>0</v>
      </c>
      <c r="O975" s="228">
        <f t="shared" si="432"/>
        <v>0</v>
      </c>
      <c r="P975" s="228">
        <f t="shared" ref="P975" si="450">E975*G975*K975*L975*15</f>
        <v>0</v>
      </c>
      <c r="Q975" s="1342">
        <v>0</v>
      </c>
    </row>
    <row r="976" spans="1:20" hidden="1" outlineLevel="1">
      <c r="A976" s="190" t="s">
        <v>1038</v>
      </c>
      <c r="B976" s="1320" t="s">
        <v>869</v>
      </c>
      <c r="C976" s="1320" t="s">
        <v>870</v>
      </c>
      <c r="D976" s="1321" t="s">
        <v>432</v>
      </c>
      <c r="E976" s="1322">
        <v>1</v>
      </c>
      <c r="F976" s="1324" t="s">
        <v>442</v>
      </c>
      <c r="G976" s="1323">
        <v>4811</v>
      </c>
      <c r="H976" s="239">
        <f t="shared" si="448"/>
        <v>0</v>
      </c>
      <c r="I976" s="1335"/>
      <c r="J976" s="1335"/>
      <c r="K976" s="1335"/>
      <c r="L976" s="1322">
        <v>0.5</v>
      </c>
      <c r="M976" s="520">
        <f t="shared" ref="M976:M977" si="451">SUM(N976:P976)-Q976</f>
        <v>0</v>
      </c>
      <c r="N976" s="521">
        <v>0</v>
      </c>
      <c r="O976" s="522">
        <f t="shared" ref="O976:O977" si="452">E976*G976*J976</f>
        <v>0</v>
      </c>
      <c r="P976" s="522"/>
      <c r="Q976" s="1342">
        <v>0</v>
      </c>
    </row>
    <row r="977" spans="1:17" hidden="1" outlineLevel="1">
      <c r="A977" s="190" t="s">
        <v>1038</v>
      </c>
      <c r="B977" s="1320" t="s">
        <v>1301</v>
      </c>
      <c r="C977" s="1320" t="s">
        <v>867</v>
      </c>
      <c r="D977" s="1321" t="s">
        <v>432</v>
      </c>
      <c r="E977" s="1322">
        <v>1.5</v>
      </c>
      <c r="F977" s="1324" t="s">
        <v>441</v>
      </c>
      <c r="G977" s="1323">
        <v>580.53</v>
      </c>
      <c r="H977" s="239">
        <f t="shared" si="448"/>
        <v>0</v>
      </c>
      <c r="I977" s="1335"/>
      <c r="J977" s="1335"/>
      <c r="K977" s="1335"/>
      <c r="L977" s="1322">
        <v>0.5</v>
      </c>
      <c r="M977" s="520">
        <f t="shared" si="451"/>
        <v>0</v>
      </c>
      <c r="N977" s="521">
        <v>0</v>
      </c>
      <c r="O977" s="522">
        <f t="shared" si="452"/>
        <v>0</v>
      </c>
      <c r="P977" s="522"/>
      <c r="Q977" s="1342">
        <v>0</v>
      </c>
    </row>
    <row r="978" spans="1:17" hidden="1" outlineLevel="1">
      <c r="A978" s="190" t="s">
        <v>1038</v>
      </c>
      <c r="B978" s="1325" t="s">
        <v>620</v>
      </c>
      <c r="C978" s="1325" t="s">
        <v>621</v>
      </c>
      <c r="D978" s="1326" t="s">
        <v>432</v>
      </c>
      <c r="E978" s="1327">
        <v>1</v>
      </c>
      <c r="F978" s="1324" t="s">
        <v>441</v>
      </c>
      <c r="G978" s="1323">
        <v>580.53</v>
      </c>
      <c r="H978" s="239">
        <f t="shared" si="448"/>
        <v>3.4276000000000001E-2</v>
      </c>
      <c r="I978" s="1338">
        <v>3.116E-2</v>
      </c>
      <c r="J978" s="1338">
        <v>3.1159999999999998E-3</v>
      </c>
      <c r="K978" s="1338"/>
      <c r="L978" s="1327">
        <v>1</v>
      </c>
      <c r="M978" s="520">
        <f t="shared" ref="M978:M979" si="453">SUM(N978:P978)-Q978</f>
        <v>1.8089314799999998</v>
      </c>
      <c r="N978" s="521">
        <v>0</v>
      </c>
      <c r="O978" s="522">
        <f t="shared" ref="O978:O979" si="454">E978*G978*J978</f>
        <v>1.8089314799999998</v>
      </c>
      <c r="P978" s="522"/>
      <c r="Q978" s="1342">
        <v>0</v>
      </c>
    </row>
    <row r="979" spans="1:17" hidden="1" outlineLevel="1">
      <c r="A979" s="190" t="s">
        <v>1038</v>
      </c>
      <c r="B979" s="1325" t="s">
        <v>622</v>
      </c>
      <c r="C979" s="1325" t="s">
        <v>619</v>
      </c>
      <c r="D979" s="1326" t="s">
        <v>432</v>
      </c>
      <c r="E979" s="1327">
        <v>1</v>
      </c>
      <c r="F979" s="1324" t="s">
        <v>441</v>
      </c>
      <c r="G979" s="1323">
        <v>580.53</v>
      </c>
      <c r="H979" s="239">
        <f t="shared" si="448"/>
        <v>1.1954480000000001</v>
      </c>
      <c r="I979" s="1338">
        <v>1.03952</v>
      </c>
      <c r="J979" s="1338">
        <v>0.15592800000000001</v>
      </c>
      <c r="K979" s="1338"/>
      <c r="L979" s="1327">
        <v>1</v>
      </c>
      <c r="M979" s="520">
        <f t="shared" si="453"/>
        <v>90.520881840000001</v>
      </c>
      <c r="N979" s="521">
        <v>0</v>
      </c>
      <c r="O979" s="522">
        <f t="shared" si="454"/>
        <v>90.520881840000001</v>
      </c>
      <c r="P979" s="522"/>
      <c r="Q979" s="1342">
        <v>0</v>
      </c>
    </row>
    <row r="980" spans="1:17" hidden="1" outlineLevel="1">
      <c r="A980" s="190" t="s">
        <v>1038</v>
      </c>
      <c r="B980" s="1316" t="s">
        <v>436</v>
      </c>
      <c r="C980" s="1316" t="s">
        <v>591</v>
      </c>
      <c r="D980" s="1317" t="s">
        <v>432</v>
      </c>
      <c r="E980" s="1318">
        <v>1</v>
      </c>
      <c r="F980" s="1317" t="s">
        <v>868</v>
      </c>
      <c r="G980" s="1315">
        <v>1579</v>
      </c>
      <c r="H980" s="238">
        <f t="shared" si="448"/>
        <v>0</v>
      </c>
      <c r="I980" s="1333"/>
      <c r="J980" s="1333"/>
      <c r="K980" s="1333"/>
      <c r="L980" s="1318">
        <v>0.5</v>
      </c>
      <c r="M980" s="233">
        <f t="shared" ref="M980:M982" si="455">SUM(N980:P980)-Q980</f>
        <v>0</v>
      </c>
      <c r="N980" s="233">
        <f t="shared" ref="N980:N1015" si="456">E980*G980*I980*L980</f>
        <v>0</v>
      </c>
      <c r="O980" s="234">
        <f t="shared" ref="O980:O1015" si="457">E980*G980*J980*L980*10</f>
        <v>0</v>
      </c>
      <c r="P980" s="234">
        <f t="shared" ref="P980:P987" si="458">E980*G980*K980*L980*15</f>
        <v>0</v>
      </c>
      <c r="Q980" s="1341">
        <v>0</v>
      </c>
    </row>
    <row r="981" spans="1:17" hidden="1" outlineLevel="1">
      <c r="A981" s="190" t="s">
        <v>1038</v>
      </c>
      <c r="B981" s="1316" t="s">
        <v>436</v>
      </c>
      <c r="C981" s="1316" t="s">
        <v>591</v>
      </c>
      <c r="D981" s="1317" t="s">
        <v>432</v>
      </c>
      <c r="E981" s="1318">
        <v>1</v>
      </c>
      <c r="F981" s="1319" t="s">
        <v>441</v>
      </c>
      <c r="G981" s="1315">
        <v>580.53</v>
      </c>
      <c r="H981" s="238">
        <f t="shared" si="448"/>
        <v>0</v>
      </c>
      <c r="I981" s="1333"/>
      <c r="J981" s="1333"/>
      <c r="K981" s="1333"/>
      <c r="L981" s="1318">
        <v>0.5</v>
      </c>
      <c r="M981" s="233">
        <f t="shared" si="455"/>
        <v>0</v>
      </c>
      <c r="N981" s="233">
        <f t="shared" si="456"/>
        <v>0</v>
      </c>
      <c r="O981" s="234">
        <f t="shared" si="457"/>
        <v>0</v>
      </c>
      <c r="P981" s="234">
        <f t="shared" si="458"/>
        <v>0</v>
      </c>
      <c r="Q981" s="1341">
        <v>0</v>
      </c>
    </row>
    <row r="982" spans="1:17" hidden="1" outlineLevel="1">
      <c r="A982" s="190" t="s">
        <v>1038</v>
      </c>
      <c r="B982" s="1316" t="s">
        <v>436</v>
      </c>
      <c r="C982" s="1316" t="s">
        <v>591</v>
      </c>
      <c r="D982" s="1317" t="s">
        <v>432</v>
      </c>
      <c r="E982" s="1318">
        <v>1</v>
      </c>
      <c r="F982" s="1319" t="s">
        <v>443</v>
      </c>
      <c r="G982" s="1315">
        <v>3250</v>
      </c>
      <c r="H982" s="238">
        <f t="shared" si="448"/>
        <v>0</v>
      </c>
      <c r="I982" s="1333"/>
      <c r="J982" s="1333"/>
      <c r="K982" s="1333"/>
      <c r="L982" s="1318">
        <v>0.5</v>
      </c>
      <c r="M982" s="233">
        <f t="shared" si="455"/>
        <v>0</v>
      </c>
      <c r="N982" s="233">
        <f t="shared" si="456"/>
        <v>0</v>
      </c>
      <c r="O982" s="234">
        <f t="shared" si="457"/>
        <v>0</v>
      </c>
      <c r="P982" s="234">
        <f t="shared" si="458"/>
        <v>0</v>
      </c>
      <c r="Q982" s="1341">
        <v>0</v>
      </c>
    </row>
    <row r="983" spans="1:17" hidden="1" outlineLevel="1">
      <c r="A983" s="190" t="s">
        <v>1038</v>
      </c>
      <c r="B983" s="1320" t="s">
        <v>436</v>
      </c>
      <c r="C983" s="1320" t="s">
        <v>591</v>
      </c>
      <c r="D983" s="1321" t="s">
        <v>432</v>
      </c>
      <c r="E983" s="1322">
        <v>1</v>
      </c>
      <c r="F983" s="1324" t="s">
        <v>444</v>
      </c>
      <c r="G983" s="1323">
        <v>13816</v>
      </c>
      <c r="H983" s="239">
        <f t="shared" ref="H983:H987" si="459">SUM(I983:K983)</f>
        <v>0</v>
      </c>
      <c r="I983" s="1335"/>
      <c r="J983" s="1335"/>
      <c r="K983" s="1335"/>
      <c r="L983" s="1322">
        <v>0.5</v>
      </c>
      <c r="M983" s="227">
        <f t="shared" ref="M983:M987" si="460">SUM(N983:P983)-Q983</f>
        <v>0</v>
      </c>
      <c r="N983" s="227">
        <f t="shared" si="456"/>
        <v>0</v>
      </c>
      <c r="O983" s="228">
        <f t="shared" si="457"/>
        <v>0</v>
      </c>
      <c r="P983" s="228">
        <f t="shared" si="458"/>
        <v>0</v>
      </c>
      <c r="Q983" s="1342">
        <v>0</v>
      </c>
    </row>
    <row r="984" spans="1:17" hidden="1" outlineLevel="1">
      <c r="A984" s="190" t="s">
        <v>1038</v>
      </c>
      <c r="B984" s="1316" t="s">
        <v>437</v>
      </c>
      <c r="C984" s="1316" t="s">
        <v>592</v>
      </c>
      <c r="D984" s="1317" t="s">
        <v>432</v>
      </c>
      <c r="E984" s="1318">
        <v>1</v>
      </c>
      <c r="F984" s="1317" t="s">
        <v>868</v>
      </c>
      <c r="G984" s="1315">
        <v>1579</v>
      </c>
      <c r="H984" s="238">
        <f t="shared" si="459"/>
        <v>3.9300000000000001E-4</v>
      </c>
      <c r="I984" s="1333">
        <v>3.9300000000000001E-4</v>
      </c>
      <c r="J984" s="1333"/>
      <c r="K984" s="1333"/>
      <c r="L984" s="1318">
        <v>0.5</v>
      </c>
      <c r="M984" s="233">
        <f t="shared" si="460"/>
        <v>0.31027350000000004</v>
      </c>
      <c r="N984" s="233">
        <f t="shared" si="456"/>
        <v>0.31027350000000004</v>
      </c>
      <c r="O984" s="234">
        <f t="shared" si="457"/>
        <v>0</v>
      </c>
      <c r="P984" s="234">
        <f t="shared" si="458"/>
        <v>0</v>
      </c>
      <c r="Q984" s="1341">
        <v>0</v>
      </c>
    </row>
    <row r="985" spans="1:17" hidden="1" outlineLevel="1">
      <c r="A985" s="190" t="s">
        <v>1038</v>
      </c>
      <c r="B985" s="1316" t="s">
        <v>437</v>
      </c>
      <c r="C985" s="1316" t="s">
        <v>592</v>
      </c>
      <c r="D985" s="1317" t="s">
        <v>432</v>
      </c>
      <c r="E985" s="1318">
        <v>1</v>
      </c>
      <c r="F985" s="1319" t="s">
        <v>441</v>
      </c>
      <c r="G985" s="1315">
        <v>580.53</v>
      </c>
      <c r="H985" s="238">
        <f t="shared" si="459"/>
        <v>5.6099999999999998E-4</v>
      </c>
      <c r="I985" s="1333">
        <v>5.6099999999999998E-4</v>
      </c>
      <c r="J985" s="1333"/>
      <c r="K985" s="1333"/>
      <c r="L985" s="1318">
        <v>0.5</v>
      </c>
      <c r="M985" s="233">
        <f t="shared" si="460"/>
        <v>0.16283866499999999</v>
      </c>
      <c r="N985" s="233">
        <f t="shared" si="456"/>
        <v>0.16283866499999999</v>
      </c>
      <c r="O985" s="234">
        <f t="shared" si="457"/>
        <v>0</v>
      </c>
      <c r="P985" s="234">
        <f t="shared" si="458"/>
        <v>0</v>
      </c>
      <c r="Q985" s="1341">
        <v>0</v>
      </c>
    </row>
    <row r="986" spans="1:17" hidden="1" outlineLevel="1">
      <c r="A986" s="190" t="s">
        <v>1038</v>
      </c>
      <c r="B986" s="1316" t="s">
        <v>437</v>
      </c>
      <c r="C986" s="1316" t="s">
        <v>592</v>
      </c>
      <c r="D986" s="1317" t="s">
        <v>432</v>
      </c>
      <c r="E986" s="1318">
        <v>1</v>
      </c>
      <c r="F986" s="1319" t="s">
        <v>443</v>
      </c>
      <c r="G986" s="1315">
        <v>3250</v>
      </c>
      <c r="H986" s="238">
        <f t="shared" si="459"/>
        <v>1.84E-4</v>
      </c>
      <c r="I986" s="1333">
        <v>1.84E-4</v>
      </c>
      <c r="J986" s="1333"/>
      <c r="K986" s="1333"/>
      <c r="L986" s="1318">
        <v>0.5</v>
      </c>
      <c r="M986" s="233">
        <f t="shared" si="460"/>
        <v>0.29899999999999999</v>
      </c>
      <c r="N986" s="233">
        <f t="shared" si="456"/>
        <v>0.29899999999999999</v>
      </c>
      <c r="O986" s="234">
        <f t="shared" si="457"/>
        <v>0</v>
      </c>
      <c r="P986" s="234">
        <f t="shared" si="458"/>
        <v>0</v>
      </c>
      <c r="Q986" s="1341">
        <v>0</v>
      </c>
    </row>
    <row r="987" spans="1:17" hidden="1" outlineLevel="1">
      <c r="A987" s="190" t="s">
        <v>1038</v>
      </c>
      <c r="B987" s="1320" t="s">
        <v>437</v>
      </c>
      <c r="C987" s="1320" t="s">
        <v>592</v>
      </c>
      <c r="D987" s="1321" t="s">
        <v>432</v>
      </c>
      <c r="E987" s="1322">
        <v>1</v>
      </c>
      <c r="F987" s="1324" t="s">
        <v>444</v>
      </c>
      <c r="G987" s="1323">
        <v>13816</v>
      </c>
      <c r="H987" s="239">
        <f t="shared" si="459"/>
        <v>4.5000000000000003E-5</v>
      </c>
      <c r="I987" s="1335">
        <v>4.5000000000000003E-5</v>
      </c>
      <c r="J987" s="1335"/>
      <c r="K987" s="1335"/>
      <c r="L987" s="1322">
        <v>0.5</v>
      </c>
      <c r="M987" s="227">
        <f t="shared" si="460"/>
        <v>0.31086000000000003</v>
      </c>
      <c r="N987" s="227">
        <f t="shared" si="456"/>
        <v>0.31086000000000003</v>
      </c>
      <c r="O987" s="228">
        <f t="shared" si="457"/>
        <v>0</v>
      </c>
      <c r="P987" s="228">
        <f t="shared" si="458"/>
        <v>0</v>
      </c>
      <c r="Q987" s="1342">
        <v>0</v>
      </c>
    </row>
    <row r="988" spans="1:17" hidden="1" outlineLevel="1">
      <c r="A988" s="190" t="s">
        <v>1038</v>
      </c>
      <c r="B988" s="1316" t="s">
        <v>438</v>
      </c>
      <c r="C988" s="1316" t="s">
        <v>593</v>
      </c>
      <c r="D988" s="1317" t="s">
        <v>432</v>
      </c>
      <c r="E988" s="1318">
        <v>1</v>
      </c>
      <c r="F988" s="1319" t="s">
        <v>868</v>
      </c>
      <c r="G988" s="1315">
        <v>1579</v>
      </c>
      <c r="H988" s="238">
        <f>SUM(I988:K988)</f>
        <v>4.235E-3</v>
      </c>
      <c r="I988" s="1333">
        <v>4.235E-3</v>
      </c>
      <c r="J988" s="1333"/>
      <c r="K988" s="1333"/>
      <c r="L988" s="1310">
        <v>1</v>
      </c>
      <c r="M988" s="233">
        <f>SUM(N988:P988)-Q988</f>
        <v>6.6870650000000005</v>
      </c>
      <c r="N988" s="233">
        <f t="shared" si="456"/>
        <v>6.6870650000000005</v>
      </c>
      <c r="O988" s="234">
        <f t="shared" si="457"/>
        <v>0</v>
      </c>
      <c r="P988" s="234">
        <f>E988*G988*K988*L988*15</f>
        <v>0</v>
      </c>
      <c r="Q988" s="1341">
        <v>0</v>
      </c>
    </row>
    <row r="989" spans="1:17" hidden="1" outlineLevel="1">
      <c r="A989" s="190" t="s">
        <v>1038</v>
      </c>
      <c r="B989" s="1316" t="s">
        <v>438</v>
      </c>
      <c r="C989" s="1316" t="s">
        <v>593</v>
      </c>
      <c r="D989" s="1317" t="s">
        <v>432</v>
      </c>
      <c r="E989" s="1318">
        <v>1</v>
      </c>
      <c r="F989" s="1319" t="s">
        <v>441</v>
      </c>
      <c r="G989" s="1315">
        <v>580.53</v>
      </c>
      <c r="H989" s="238">
        <f t="shared" ref="H989" si="461">SUM(I989:K989)</f>
        <v>1.1934999999999999E-2</v>
      </c>
      <c r="I989" s="1333">
        <v>5.7749999999999998E-3</v>
      </c>
      <c r="J989" s="1333">
        <v>6.1599999999999997E-3</v>
      </c>
      <c r="K989" s="1333"/>
      <c r="L989" s="1318">
        <v>1</v>
      </c>
      <c r="M989" s="233">
        <f t="shared" ref="M989" si="462">SUM(N989:P989)-Q989</f>
        <v>39.113208749999998</v>
      </c>
      <c r="N989" s="233">
        <f t="shared" si="456"/>
        <v>3.3525607499999999</v>
      </c>
      <c r="O989" s="234">
        <f t="shared" si="457"/>
        <v>35.760647999999996</v>
      </c>
      <c r="P989" s="234">
        <f t="shared" ref="P989:P1009" si="463">E989*G989*K989*L989*15</f>
        <v>0</v>
      </c>
      <c r="Q989" s="1341">
        <v>0</v>
      </c>
    </row>
    <row r="990" spans="1:17" hidden="1" outlineLevel="1">
      <c r="A990" s="190" t="s">
        <v>1038</v>
      </c>
      <c r="B990" s="1316" t="s">
        <v>438</v>
      </c>
      <c r="C990" s="1316" t="s">
        <v>593</v>
      </c>
      <c r="D990" s="1317" t="s">
        <v>432</v>
      </c>
      <c r="E990" s="1318">
        <v>1</v>
      </c>
      <c r="F990" s="1319" t="s">
        <v>442</v>
      </c>
      <c r="G990" s="1315">
        <v>4811</v>
      </c>
      <c r="H990" s="238">
        <f t="shared" ref="H990:H1000" si="464">SUM(I990:K990)</f>
        <v>2.7E-4</v>
      </c>
      <c r="I990" s="1333">
        <v>2.7E-4</v>
      </c>
      <c r="J990" s="1333"/>
      <c r="K990" s="1333"/>
      <c r="L990" s="1318">
        <v>1</v>
      </c>
      <c r="M990" s="233">
        <f t="shared" ref="M990:M1000" si="465">SUM(N990:P990)-Q990</f>
        <v>1.29897</v>
      </c>
      <c r="N990" s="233">
        <f t="shared" si="456"/>
        <v>1.29897</v>
      </c>
      <c r="O990" s="234">
        <f t="shared" si="457"/>
        <v>0</v>
      </c>
      <c r="P990" s="234">
        <f t="shared" si="463"/>
        <v>0</v>
      </c>
      <c r="Q990" s="1341">
        <v>0</v>
      </c>
    </row>
    <row r="991" spans="1:17" hidden="1" outlineLevel="1">
      <c r="A991" s="190" t="s">
        <v>1038</v>
      </c>
      <c r="B991" s="1316" t="s">
        <v>438</v>
      </c>
      <c r="C991" s="1316" t="s">
        <v>593</v>
      </c>
      <c r="D991" s="1317" t="s">
        <v>432</v>
      </c>
      <c r="E991" s="1318">
        <v>1</v>
      </c>
      <c r="F991" s="1319" t="s">
        <v>443</v>
      </c>
      <c r="G991" s="1315">
        <v>3250</v>
      </c>
      <c r="H991" s="238">
        <f t="shared" si="464"/>
        <v>7.3149999999999995E-3</v>
      </c>
      <c r="I991" s="1333">
        <v>5.7749999999999998E-3</v>
      </c>
      <c r="J991" s="1333">
        <v>1.5399999999999999E-3</v>
      </c>
      <c r="K991" s="1333"/>
      <c r="L991" s="1318">
        <v>1</v>
      </c>
      <c r="M991" s="233">
        <f t="shared" si="465"/>
        <v>68.818749999999994</v>
      </c>
      <c r="N991" s="233">
        <f t="shared" si="456"/>
        <v>18.768750000000001</v>
      </c>
      <c r="O991" s="234">
        <f t="shared" si="457"/>
        <v>50.05</v>
      </c>
      <c r="P991" s="234">
        <f t="shared" si="463"/>
        <v>0</v>
      </c>
      <c r="Q991" s="1341">
        <v>0</v>
      </c>
    </row>
    <row r="992" spans="1:17" hidden="1" outlineLevel="1">
      <c r="A992" s="190" t="s">
        <v>1038</v>
      </c>
      <c r="B992" s="1316" t="s">
        <v>438</v>
      </c>
      <c r="C992" s="1316" t="s">
        <v>593</v>
      </c>
      <c r="D992" s="1317" t="s">
        <v>432</v>
      </c>
      <c r="E992" s="1318">
        <v>1</v>
      </c>
      <c r="F992" s="1319" t="s">
        <v>444</v>
      </c>
      <c r="G992" s="1315">
        <v>13816</v>
      </c>
      <c r="H992" s="238">
        <f t="shared" si="464"/>
        <v>1.039E-3</v>
      </c>
      <c r="I992" s="1333">
        <v>1.92E-4</v>
      </c>
      <c r="J992" s="1333">
        <v>8.4699999999999999E-4</v>
      </c>
      <c r="K992" s="1333"/>
      <c r="L992" s="1318">
        <v>1</v>
      </c>
      <c r="M992" s="233">
        <f t="shared" si="465"/>
        <v>119.67419199999999</v>
      </c>
      <c r="N992" s="233">
        <f t="shared" si="456"/>
        <v>2.6526719999999999</v>
      </c>
      <c r="O992" s="234">
        <f t="shared" si="457"/>
        <v>117.02152</v>
      </c>
      <c r="P992" s="234">
        <f t="shared" si="463"/>
        <v>0</v>
      </c>
      <c r="Q992" s="1341">
        <v>0</v>
      </c>
    </row>
    <row r="993" spans="1:17" hidden="1" outlineLevel="1">
      <c r="A993" s="190" t="s">
        <v>1038</v>
      </c>
      <c r="B993" s="1320" t="s">
        <v>438</v>
      </c>
      <c r="C993" s="1320" t="s">
        <v>593</v>
      </c>
      <c r="D993" s="1321" t="s">
        <v>432</v>
      </c>
      <c r="E993" s="1322">
        <v>1</v>
      </c>
      <c r="F993" s="1324" t="s">
        <v>445</v>
      </c>
      <c r="G993" s="1323">
        <v>27975</v>
      </c>
      <c r="H993" s="239">
        <f t="shared" si="464"/>
        <v>0</v>
      </c>
      <c r="I993" s="1335"/>
      <c r="J993" s="1335"/>
      <c r="K993" s="1335"/>
      <c r="L993" s="1322">
        <v>1</v>
      </c>
      <c r="M993" s="227">
        <f t="shared" si="465"/>
        <v>0</v>
      </c>
      <c r="N993" s="227">
        <f t="shared" si="456"/>
        <v>0</v>
      </c>
      <c r="O993" s="228">
        <f t="shared" si="457"/>
        <v>0</v>
      </c>
      <c r="P993" s="228">
        <f t="shared" si="463"/>
        <v>0</v>
      </c>
      <c r="Q993" s="1342">
        <v>0</v>
      </c>
    </row>
    <row r="994" spans="1:17" hidden="1" outlineLevel="1">
      <c r="A994" s="190" t="s">
        <v>1038</v>
      </c>
      <c r="B994" s="1316" t="s">
        <v>418</v>
      </c>
      <c r="C994" s="1316" t="s">
        <v>439</v>
      </c>
      <c r="D994" s="1317" t="s">
        <v>432</v>
      </c>
      <c r="E994" s="1318">
        <v>1.5</v>
      </c>
      <c r="F994" s="1319" t="s">
        <v>868</v>
      </c>
      <c r="G994" s="1315">
        <v>1579</v>
      </c>
      <c r="H994" s="238">
        <f t="shared" si="464"/>
        <v>1.1858E-2</v>
      </c>
      <c r="I994" s="1333">
        <v>1.1858E-2</v>
      </c>
      <c r="J994" s="1333"/>
      <c r="K994" s="1333"/>
      <c r="L994" s="1310">
        <v>0.5</v>
      </c>
      <c r="M994" s="233">
        <f t="shared" si="465"/>
        <v>14.0428365</v>
      </c>
      <c r="N994" s="233">
        <f t="shared" si="456"/>
        <v>14.0428365</v>
      </c>
      <c r="O994" s="234">
        <f t="shared" si="457"/>
        <v>0</v>
      </c>
      <c r="P994" s="234">
        <f t="shared" si="463"/>
        <v>0</v>
      </c>
      <c r="Q994" s="1341">
        <v>0</v>
      </c>
    </row>
    <row r="995" spans="1:17" hidden="1" outlineLevel="1">
      <c r="A995" s="190" t="s">
        <v>1038</v>
      </c>
      <c r="B995" s="1316" t="s">
        <v>418</v>
      </c>
      <c r="C995" s="1316" t="s">
        <v>439</v>
      </c>
      <c r="D995" s="1317" t="s">
        <v>432</v>
      </c>
      <c r="E995" s="1318">
        <v>1.5</v>
      </c>
      <c r="F995" s="1319" t="s">
        <v>441</v>
      </c>
      <c r="G995" s="1315">
        <v>580.53</v>
      </c>
      <c r="H995" s="238">
        <f t="shared" si="464"/>
        <v>3.6801E-2</v>
      </c>
      <c r="I995" s="1333">
        <v>3.6801E-2</v>
      </c>
      <c r="J995" s="1333"/>
      <c r="K995" s="1333"/>
      <c r="L995" s="1318">
        <v>0.5</v>
      </c>
      <c r="M995" s="233">
        <f t="shared" si="465"/>
        <v>16.0230633975</v>
      </c>
      <c r="N995" s="233">
        <f t="shared" si="456"/>
        <v>16.0230633975</v>
      </c>
      <c r="O995" s="234">
        <f t="shared" si="457"/>
        <v>0</v>
      </c>
      <c r="P995" s="234">
        <f t="shared" si="463"/>
        <v>0</v>
      </c>
      <c r="Q995" s="1341">
        <v>0</v>
      </c>
    </row>
    <row r="996" spans="1:17" hidden="1" outlineLevel="1">
      <c r="A996" s="190" t="s">
        <v>1038</v>
      </c>
      <c r="B996" s="1316" t="s">
        <v>418</v>
      </c>
      <c r="C996" s="1316" t="s">
        <v>439</v>
      </c>
      <c r="D996" s="1317" t="s">
        <v>432</v>
      </c>
      <c r="E996" s="1318">
        <v>1.5</v>
      </c>
      <c r="F996" s="1319" t="s">
        <v>442</v>
      </c>
      <c r="G996" s="1315">
        <v>4811</v>
      </c>
      <c r="H996" s="238">
        <f t="shared" si="464"/>
        <v>3.6800000000000001E-3</v>
      </c>
      <c r="I996" s="1333">
        <v>3.6800000000000001E-3</v>
      </c>
      <c r="J996" s="1333"/>
      <c r="K996" s="1333"/>
      <c r="L996" s="1318">
        <v>0.5</v>
      </c>
      <c r="M996" s="233">
        <f t="shared" si="465"/>
        <v>13.278360000000001</v>
      </c>
      <c r="N996" s="233">
        <f t="shared" si="456"/>
        <v>13.278360000000001</v>
      </c>
      <c r="O996" s="234">
        <f t="shared" si="457"/>
        <v>0</v>
      </c>
      <c r="P996" s="234">
        <f t="shared" si="463"/>
        <v>0</v>
      </c>
      <c r="Q996" s="1341">
        <v>0</v>
      </c>
    </row>
    <row r="997" spans="1:17" hidden="1" outlineLevel="1">
      <c r="A997" s="190" t="s">
        <v>1038</v>
      </c>
      <c r="B997" s="1316" t="s">
        <v>418</v>
      </c>
      <c r="C997" s="1316" t="s">
        <v>439</v>
      </c>
      <c r="D997" s="1317" t="s">
        <v>432</v>
      </c>
      <c r="E997" s="1318">
        <v>1.5</v>
      </c>
      <c r="F997" s="1319" t="s">
        <v>443</v>
      </c>
      <c r="G997" s="1315">
        <v>3250</v>
      </c>
      <c r="H997" s="238">
        <f t="shared" si="464"/>
        <v>2.1672E-2</v>
      </c>
      <c r="I997" s="1333">
        <v>2.1672E-2</v>
      </c>
      <c r="J997" s="1333"/>
      <c r="K997" s="1333"/>
      <c r="L997" s="1318">
        <v>0.5</v>
      </c>
      <c r="M997" s="233">
        <f t="shared" si="465"/>
        <v>52.825499999999998</v>
      </c>
      <c r="N997" s="233">
        <f t="shared" si="456"/>
        <v>52.825499999999998</v>
      </c>
      <c r="O997" s="234">
        <f t="shared" si="457"/>
        <v>0</v>
      </c>
      <c r="P997" s="234">
        <f t="shared" si="463"/>
        <v>0</v>
      </c>
      <c r="Q997" s="1341">
        <v>0</v>
      </c>
    </row>
    <row r="998" spans="1:17" hidden="1" outlineLevel="1">
      <c r="A998" s="190" t="s">
        <v>1038</v>
      </c>
      <c r="B998" s="1316" t="s">
        <v>418</v>
      </c>
      <c r="C998" s="1316" t="s">
        <v>439</v>
      </c>
      <c r="D998" s="1317" t="s">
        <v>432</v>
      </c>
      <c r="E998" s="1318">
        <v>1.5</v>
      </c>
      <c r="F998" s="1319" t="s">
        <v>444</v>
      </c>
      <c r="G998" s="1315">
        <v>13816</v>
      </c>
      <c r="H998" s="238">
        <f t="shared" si="464"/>
        <v>3.8440000000000002E-3</v>
      </c>
      <c r="I998" s="1333">
        <v>3.8440000000000002E-3</v>
      </c>
      <c r="J998" s="1333"/>
      <c r="K998" s="1333"/>
      <c r="L998" s="1318">
        <v>0.5</v>
      </c>
      <c r="M998" s="233">
        <f t="shared" si="465"/>
        <v>39.831527999999999</v>
      </c>
      <c r="N998" s="233">
        <f t="shared" si="456"/>
        <v>39.831527999999999</v>
      </c>
      <c r="O998" s="234">
        <f t="shared" si="457"/>
        <v>0</v>
      </c>
      <c r="P998" s="234">
        <f t="shared" si="463"/>
        <v>0</v>
      </c>
      <c r="Q998" s="1341">
        <v>0</v>
      </c>
    </row>
    <row r="999" spans="1:17" hidden="1" outlineLevel="1">
      <c r="A999" s="190" t="s">
        <v>1038</v>
      </c>
      <c r="B999" s="1320" t="s">
        <v>418</v>
      </c>
      <c r="C999" s="1320" t="s">
        <v>439</v>
      </c>
      <c r="D999" s="1321" t="s">
        <v>432</v>
      </c>
      <c r="E999" s="1322">
        <v>1.5</v>
      </c>
      <c r="F999" s="1324" t="s">
        <v>445</v>
      </c>
      <c r="G999" s="1323">
        <v>27975</v>
      </c>
      <c r="H999" s="239">
        <f t="shared" si="464"/>
        <v>0</v>
      </c>
      <c r="I999" s="1335"/>
      <c r="J999" s="1335"/>
      <c r="K999" s="1335"/>
      <c r="L999" s="1322">
        <v>0.5</v>
      </c>
      <c r="M999" s="227">
        <f t="shared" si="465"/>
        <v>0</v>
      </c>
      <c r="N999" s="227">
        <f t="shared" si="456"/>
        <v>0</v>
      </c>
      <c r="O999" s="228">
        <f t="shared" si="457"/>
        <v>0</v>
      </c>
      <c r="P999" s="228">
        <f t="shared" si="463"/>
        <v>0</v>
      </c>
      <c r="Q999" s="1342">
        <v>0</v>
      </c>
    </row>
    <row r="1000" spans="1:17" hidden="1" outlineLevel="1">
      <c r="A1000" s="190" t="s">
        <v>1038</v>
      </c>
      <c r="B1000" s="1316" t="s">
        <v>411</v>
      </c>
      <c r="C1000" s="1316" t="s">
        <v>440</v>
      </c>
      <c r="D1000" s="1317" t="s">
        <v>432</v>
      </c>
      <c r="E1000" s="1318">
        <v>1.5</v>
      </c>
      <c r="F1000" s="1319" t="s">
        <v>868</v>
      </c>
      <c r="G1000" s="1315">
        <v>1579</v>
      </c>
      <c r="H1000" s="238">
        <f t="shared" si="464"/>
        <v>4.5420999999999996E-2</v>
      </c>
      <c r="I1000" s="1333">
        <v>3.4279999999999998E-2</v>
      </c>
      <c r="J1000" s="1333">
        <v>1.1141E-2</v>
      </c>
      <c r="K1000" s="1333"/>
      <c r="L1000" s="1318">
        <v>1</v>
      </c>
      <c r="M1000" s="233">
        <f t="shared" si="465"/>
        <v>345.06676500000003</v>
      </c>
      <c r="N1000" s="233">
        <f t="shared" si="456"/>
        <v>81.192179999999993</v>
      </c>
      <c r="O1000" s="234">
        <f t="shared" si="457"/>
        <v>263.87458500000002</v>
      </c>
      <c r="P1000" s="234">
        <f t="shared" si="463"/>
        <v>0</v>
      </c>
      <c r="Q1000" s="1341">
        <v>0</v>
      </c>
    </row>
    <row r="1001" spans="1:17" hidden="1" outlineLevel="1">
      <c r="A1001" s="190" t="s">
        <v>1038</v>
      </c>
      <c r="B1001" s="1316" t="s">
        <v>411</v>
      </c>
      <c r="C1001" s="1316" t="s">
        <v>440</v>
      </c>
      <c r="D1001" s="1317" t="s">
        <v>432</v>
      </c>
      <c r="E1001" s="1318">
        <v>1.5</v>
      </c>
      <c r="F1001" s="1317" t="s">
        <v>441</v>
      </c>
      <c r="G1001" s="1315">
        <v>580.53</v>
      </c>
      <c r="H1001" s="238">
        <f t="shared" ref="H1001" si="466">SUM(I1001:K1001)</f>
        <v>3.6851000000000002E-2</v>
      </c>
      <c r="I1001" s="1333">
        <v>2.9995000000000001E-2</v>
      </c>
      <c r="J1001" s="1333">
        <v>6.8560000000000001E-3</v>
      </c>
      <c r="K1001" s="1333"/>
      <c r="L1001" s="1318">
        <v>1</v>
      </c>
      <c r="M1001" s="233">
        <f t="shared" ref="M1001:M1009" si="467">SUM(N1001:P1001)-Q1001</f>
        <v>85.821201224999996</v>
      </c>
      <c r="N1001" s="233">
        <f t="shared" si="456"/>
        <v>26.119496025</v>
      </c>
      <c r="O1001" s="234">
        <f t="shared" si="457"/>
        <v>59.701705199999999</v>
      </c>
      <c r="P1001" s="234">
        <f t="shared" si="463"/>
        <v>0</v>
      </c>
      <c r="Q1001" s="1341">
        <v>0</v>
      </c>
    </row>
    <row r="1002" spans="1:17" hidden="1" outlineLevel="1">
      <c r="A1002" s="190" t="s">
        <v>1038</v>
      </c>
      <c r="B1002" s="1316" t="s">
        <v>411</v>
      </c>
      <c r="C1002" s="1316" t="s">
        <v>440</v>
      </c>
      <c r="D1002" s="1317" t="s">
        <v>432</v>
      </c>
      <c r="E1002" s="1318">
        <v>1.5</v>
      </c>
      <c r="F1002" s="1319" t="s">
        <v>442</v>
      </c>
      <c r="G1002" s="1315">
        <v>4811</v>
      </c>
      <c r="H1002" s="238">
        <f>SUM(I1002:K1002)</f>
        <v>0</v>
      </c>
      <c r="I1002" s="1333"/>
      <c r="J1002" s="1333"/>
      <c r="K1002" s="1333"/>
      <c r="L1002" s="1318">
        <v>1</v>
      </c>
      <c r="M1002" s="233">
        <f t="shared" si="467"/>
        <v>0</v>
      </c>
      <c r="N1002" s="233">
        <f t="shared" si="456"/>
        <v>0</v>
      </c>
      <c r="O1002" s="234">
        <f t="shared" si="457"/>
        <v>0</v>
      </c>
      <c r="P1002" s="234">
        <f t="shared" si="463"/>
        <v>0</v>
      </c>
      <c r="Q1002" s="1341">
        <v>0</v>
      </c>
    </row>
    <row r="1003" spans="1:17" hidden="1" outlineLevel="1">
      <c r="A1003" s="190" t="s">
        <v>1038</v>
      </c>
      <c r="B1003" s="1316" t="s">
        <v>411</v>
      </c>
      <c r="C1003" s="1316" t="s">
        <v>440</v>
      </c>
      <c r="D1003" s="1317" t="s">
        <v>432</v>
      </c>
      <c r="E1003" s="1318">
        <v>1.5</v>
      </c>
      <c r="F1003" s="1319" t="s">
        <v>443</v>
      </c>
      <c r="G1003" s="1315">
        <v>3250</v>
      </c>
      <c r="H1003" s="238">
        <f t="shared" ref="H1003:H1009" si="468">SUM(I1003:K1003)</f>
        <v>2.0567999999999999E-2</v>
      </c>
      <c r="I1003" s="1333">
        <v>2.0567999999999999E-2</v>
      </c>
      <c r="J1003" s="1333"/>
      <c r="K1003" s="1333"/>
      <c r="L1003" s="1318">
        <v>1</v>
      </c>
      <c r="M1003" s="233">
        <f t="shared" si="467"/>
        <v>100.26899999999999</v>
      </c>
      <c r="N1003" s="233">
        <f t="shared" si="456"/>
        <v>100.26899999999999</v>
      </c>
      <c r="O1003" s="234">
        <f t="shared" si="457"/>
        <v>0</v>
      </c>
      <c r="P1003" s="234">
        <f t="shared" si="463"/>
        <v>0</v>
      </c>
      <c r="Q1003" s="1341">
        <v>0</v>
      </c>
    </row>
    <row r="1004" spans="1:17" hidden="1" outlineLevel="1">
      <c r="A1004" s="190" t="s">
        <v>1038</v>
      </c>
      <c r="B1004" s="1320" t="s">
        <v>411</v>
      </c>
      <c r="C1004" s="1320" t="s">
        <v>440</v>
      </c>
      <c r="D1004" s="1321" t="s">
        <v>432</v>
      </c>
      <c r="E1004" s="1322">
        <v>1.5</v>
      </c>
      <c r="F1004" s="1324" t="s">
        <v>444</v>
      </c>
      <c r="G1004" s="1323">
        <v>13816</v>
      </c>
      <c r="H1004" s="239">
        <f t="shared" si="468"/>
        <v>2.4849999999999998E-3</v>
      </c>
      <c r="I1004" s="1335">
        <v>2.4849999999999998E-3</v>
      </c>
      <c r="J1004" s="1335"/>
      <c r="K1004" s="1335"/>
      <c r="L1004" s="1322">
        <v>1</v>
      </c>
      <c r="M1004" s="227">
        <f t="shared" si="467"/>
        <v>51.499139999999997</v>
      </c>
      <c r="N1004" s="227">
        <f t="shared" si="456"/>
        <v>51.499139999999997</v>
      </c>
      <c r="O1004" s="228">
        <f t="shared" si="457"/>
        <v>0</v>
      </c>
      <c r="P1004" s="228">
        <f t="shared" si="463"/>
        <v>0</v>
      </c>
      <c r="Q1004" s="1342">
        <v>0</v>
      </c>
    </row>
    <row r="1005" spans="1:17" hidden="1" outlineLevel="1">
      <c r="A1005" s="190" t="s">
        <v>1038</v>
      </c>
      <c r="B1005" s="1316" t="s">
        <v>409</v>
      </c>
      <c r="C1005" s="1316" t="s">
        <v>594</v>
      </c>
      <c r="D1005" s="1317" t="s">
        <v>432</v>
      </c>
      <c r="E1005" s="1318">
        <v>1</v>
      </c>
      <c r="F1005" s="1319" t="s">
        <v>868</v>
      </c>
      <c r="G1005" s="1315">
        <v>1579</v>
      </c>
      <c r="H1005" s="238">
        <f t="shared" si="468"/>
        <v>1.6236E-2</v>
      </c>
      <c r="I1005" s="1333">
        <v>1.6236E-2</v>
      </c>
      <c r="J1005" s="1333"/>
      <c r="K1005" s="1333"/>
      <c r="L1005" s="1318">
        <v>0.5</v>
      </c>
      <c r="M1005" s="233">
        <f t="shared" si="467"/>
        <v>12.818322</v>
      </c>
      <c r="N1005" s="233">
        <f t="shared" si="456"/>
        <v>12.818322</v>
      </c>
      <c r="O1005" s="234">
        <f t="shared" si="457"/>
        <v>0</v>
      </c>
      <c r="P1005" s="234">
        <f t="shared" si="463"/>
        <v>0</v>
      </c>
      <c r="Q1005" s="1341">
        <v>0</v>
      </c>
    </row>
    <row r="1006" spans="1:17" hidden="1" outlineLevel="1">
      <c r="A1006" s="190" t="s">
        <v>1038</v>
      </c>
      <c r="B1006" s="1316" t="s">
        <v>409</v>
      </c>
      <c r="C1006" s="1316" t="s">
        <v>594</v>
      </c>
      <c r="D1006" s="1317" t="s">
        <v>432</v>
      </c>
      <c r="E1006" s="1318">
        <v>1</v>
      </c>
      <c r="F1006" s="1317" t="s">
        <v>441</v>
      </c>
      <c r="G1006" s="1315">
        <v>580.53</v>
      </c>
      <c r="H1006" s="238">
        <f t="shared" si="468"/>
        <v>2.3616000000000002E-2</v>
      </c>
      <c r="I1006" s="1333">
        <v>2.3616000000000002E-2</v>
      </c>
      <c r="J1006" s="1333"/>
      <c r="K1006" s="1333"/>
      <c r="L1006" s="1318">
        <v>0.5</v>
      </c>
      <c r="M1006" s="233">
        <f t="shared" si="467"/>
        <v>6.8548982399999998</v>
      </c>
      <c r="N1006" s="233">
        <f t="shared" si="456"/>
        <v>6.8548982399999998</v>
      </c>
      <c r="O1006" s="234">
        <f t="shared" si="457"/>
        <v>0</v>
      </c>
      <c r="P1006" s="234">
        <f t="shared" si="463"/>
        <v>0</v>
      </c>
      <c r="Q1006" s="1341">
        <v>0</v>
      </c>
    </row>
    <row r="1007" spans="1:17" hidden="1" outlineLevel="1">
      <c r="A1007" s="190" t="s">
        <v>1038</v>
      </c>
      <c r="B1007" s="1316" t="s">
        <v>409</v>
      </c>
      <c r="C1007" s="1316" t="s">
        <v>594</v>
      </c>
      <c r="D1007" s="1317" t="s">
        <v>432</v>
      </c>
      <c r="E1007" s="1318">
        <v>1</v>
      </c>
      <c r="F1007" s="1319" t="s">
        <v>442</v>
      </c>
      <c r="G1007" s="1315">
        <v>4811</v>
      </c>
      <c r="H1007" s="238">
        <f t="shared" si="468"/>
        <v>0</v>
      </c>
      <c r="I1007" s="1333"/>
      <c r="J1007" s="1333"/>
      <c r="K1007" s="1333"/>
      <c r="L1007" s="1318">
        <v>0.5</v>
      </c>
      <c r="M1007" s="233">
        <f t="shared" si="467"/>
        <v>0</v>
      </c>
      <c r="N1007" s="233">
        <f t="shared" si="456"/>
        <v>0</v>
      </c>
      <c r="O1007" s="234">
        <f t="shared" si="457"/>
        <v>0</v>
      </c>
      <c r="P1007" s="234">
        <f t="shared" si="463"/>
        <v>0</v>
      </c>
      <c r="Q1007" s="1341">
        <v>0</v>
      </c>
    </row>
    <row r="1008" spans="1:17" hidden="1" outlineLevel="1">
      <c r="A1008" s="190" t="s">
        <v>1038</v>
      </c>
      <c r="B1008" s="1316" t="s">
        <v>409</v>
      </c>
      <c r="C1008" s="1316" t="s">
        <v>594</v>
      </c>
      <c r="D1008" s="1317" t="s">
        <v>432</v>
      </c>
      <c r="E1008" s="1318">
        <v>1</v>
      </c>
      <c r="F1008" s="1319" t="s">
        <v>443</v>
      </c>
      <c r="G1008" s="1315">
        <v>3250</v>
      </c>
      <c r="H1008" s="238">
        <f t="shared" si="468"/>
        <v>3.1733999999999998E-2</v>
      </c>
      <c r="I1008" s="1333">
        <v>3.1733999999999998E-2</v>
      </c>
      <c r="J1008" s="1333"/>
      <c r="K1008" s="1333"/>
      <c r="L1008" s="1318">
        <v>0.5</v>
      </c>
      <c r="M1008" s="235">
        <f t="shared" si="467"/>
        <v>51.567749999999997</v>
      </c>
      <c r="N1008" s="233">
        <f t="shared" si="456"/>
        <v>51.567749999999997</v>
      </c>
      <c r="O1008" s="234">
        <f t="shared" si="457"/>
        <v>0</v>
      </c>
      <c r="P1008" s="234">
        <f t="shared" si="463"/>
        <v>0</v>
      </c>
      <c r="Q1008" s="1341">
        <v>0</v>
      </c>
    </row>
    <row r="1009" spans="1:20" hidden="1" outlineLevel="1">
      <c r="A1009" s="191" t="s">
        <v>1038</v>
      </c>
      <c r="B1009" s="1320" t="s">
        <v>409</v>
      </c>
      <c r="C1009" s="1320" t="s">
        <v>594</v>
      </c>
      <c r="D1009" s="1321" t="s">
        <v>432</v>
      </c>
      <c r="E1009" s="1322">
        <v>1</v>
      </c>
      <c r="F1009" s="1324" t="s">
        <v>444</v>
      </c>
      <c r="G1009" s="1323">
        <v>13816</v>
      </c>
      <c r="H1009" s="239">
        <f t="shared" si="468"/>
        <v>3.3210000000000002E-3</v>
      </c>
      <c r="I1009" s="1335">
        <v>3.3210000000000002E-3</v>
      </c>
      <c r="J1009" s="1335"/>
      <c r="K1009" s="1335"/>
      <c r="L1009" s="1322">
        <v>0.5</v>
      </c>
      <c r="M1009" s="267">
        <f t="shared" si="467"/>
        <v>22.941468</v>
      </c>
      <c r="N1009" s="227">
        <f t="shared" si="456"/>
        <v>22.941468</v>
      </c>
      <c r="O1009" s="228">
        <f t="shared" si="457"/>
        <v>0</v>
      </c>
      <c r="P1009" s="228">
        <f t="shared" si="463"/>
        <v>0</v>
      </c>
      <c r="Q1009" s="1342">
        <v>0</v>
      </c>
      <c r="R1009" s="512">
        <f>SUM(M970:M1009)</f>
        <v>5153.1185015174997</v>
      </c>
    </row>
    <row r="1010" spans="1:20" hidden="1" outlineLevel="1">
      <c r="A1010" s="771" t="s">
        <v>1038</v>
      </c>
      <c r="B1010" s="1308" t="s">
        <v>434</v>
      </c>
      <c r="C1010" s="1308" t="s">
        <v>435</v>
      </c>
      <c r="D1010" s="1309" t="s">
        <v>433</v>
      </c>
      <c r="E1010" s="1310">
        <v>1</v>
      </c>
      <c r="F1010" s="1309" t="s">
        <v>868</v>
      </c>
      <c r="G1010" s="1315">
        <v>1579</v>
      </c>
      <c r="H1010" s="778">
        <f>SUM(I1010:K1010)</f>
        <v>0.10192</v>
      </c>
      <c r="I1010" s="1329">
        <v>0.10192</v>
      </c>
      <c r="J1010" s="1329"/>
      <c r="K1010" s="1329"/>
      <c r="L1010" s="1310">
        <v>1</v>
      </c>
      <c r="M1010" s="772">
        <f>SUM(N1010:P1010)-Q1010</f>
        <v>160.93168</v>
      </c>
      <c r="N1010" s="772">
        <f t="shared" si="456"/>
        <v>160.93168</v>
      </c>
      <c r="O1010" s="773">
        <f t="shared" si="457"/>
        <v>0</v>
      </c>
      <c r="P1010" s="773">
        <f>E1010*G1010*K1010*L1010*15</f>
        <v>0</v>
      </c>
      <c r="Q1010" s="1339">
        <v>0</v>
      </c>
      <c r="R1010" s="519"/>
    </row>
    <row r="1011" spans="1:20" hidden="1" outlineLevel="1">
      <c r="A1011" s="1598" t="s">
        <v>1038</v>
      </c>
      <c r="B1011" s="1312" t="s">
        <v>434</v>
      </c>
      <c r="C1011" s="1312" t="s">
        <v>435</v>
      </c>
      <c r="D1011" s="1313" t="s">
        <v>433</v>
      </c>
      <c r="E1011" s="1314">
        <v>1</v>
      </c>
      <c r="F1011" s="1319" t="s">
        <v>441</v>
      </c>
      <c r="G1011" s="1315">
        <v>580.53</v>
      </c>
      <c r="H1011" s="237">
        <f t="shared" ref="H1011:H1012" si="469">SUM(I1011:K1011)</f>
        <v>0.14013999999999999</v>
      </c>
      <c r="I1011" s="1331">
        <v>0.14013999999999999</v>
      </c>
      <c r="J1011" s="1331"/>
      <c r="K1011" s="1331"/>
      <c r="L1011" s="1318">
        <v>1</v>
      </c>
      <c r="M1011" s="223">
        <f t="shared" ref="M1011:M1012" si="470">SUM(N1011:P1011)-Q1011</f>
        <v>81.355474199999989</v>
      </c>
      <c r="N1011" s="223">
        <f t="shared" si="456"/>
        <v>81.355474199999989</v>
      </c>
      <c r="O1011" s="224">
        <f t="shared" si="457"/>
        <v>0</v>
      </c>
      <c r="P1011" s="224">
        <f t="shared" ref="P1011:P1012" si="471">E1011*G1011*K1011*L1011*15</f>
        <v>0</v>
      </c>
      <c r="Q1011" s="1340">
        <v>0</v>
      </c>
    </row>
    <row r="1012" spans="1:20" hidden="1" outlineLevel="1">
      <c r="A1012" s="1598" t="s">
        <v>1038</v>
      </c>
      <c r="B1012" s="1316" t="s">
        <v>434</v>
      </c>
      <c r="C1012" s="1316" t="s">
        <v>435</v>
      </c>
      <c r="D1012" s="1313" t="s">
        <v>433</v>
      </c>
      <c r="E1012" s="1318">
        <v>1</v>
      </c>
      <c r="F1012" s="1319" t="s">
        <v>442</v>
      </c>
      <c r="G1012" s="1315">
        <v>4811</v>
      </c>
      <c r="H1012" s="238">
        <f t="shared" si="469"/>
        <v>0</v>
      </c>
      <c r="I1012" s="1333"/>
      <c r="J1012" s="1333"/>
      <c r="K1012" s="1333"/>
      <c r="L1012" s="1318">
        <v>1</v>
      </c>
      <c r="M1012" s="233">
        <f t="shared" si="470"/>
        <v>0</v>
      </c>
      <c r="N1012" s="233">
        <f t="shared" si="456"/>
        <v>0</v>
      </c>
      <c r="O1012" s="234">
        <f t="shared" si="457"/>
        <v>0</v>
      </c>
      <c r="P1012" s="234">
        <f t="shared" si="471"/>
        <v>0</v>
      </c>
      <c r="Q1012" s="1341">
        <v>0</v>
      </c>
    </row>
    <row r="1013" spans="1:20" hidden="1" outlineLevel="1">
      <c r="A1013" s="1598" t="s">
        <v>1038</v>
      </c>
      <c r="B1013" s="1316" t="s">
        <v>434</v>
      </c>
      <c r="C1013" s="1316" t="s">
        <v>435</v>
      </c>
      <c r="D1013" s="1317" t="s">
        <v>433</v>
      </c>
      <c r="E1013" s="1318">
        <v>1</v>
      </c>
      <c r="F1013" s="1319" t="s">
        <v>443</v>
      </c>
      <c r="G1013" s="1315">
        <v>3250</v>
      </c>
      <c r="H1013" s="238">
        <f>SUM(I1013:K1013)</f>
        <v>0.19747000000000001</v>
      </c>
      <c r="I1013" s="1333">
        <v>0.19747000000000001</v>
      </c>
      <c r="J1013" s="1333"/>
      <c r="K1013" s="1333"/>
      <c r="L1013" s="1318">
        <v>1</v>
      </c>
      <c r="M1013" s="233">
        <f>SUM(N1013:P1013)-Q1013</f>
        <v>641.77750000000003</v>
      </c>
      <c r="N1013" s="233">
        <f t="shared" si="456"/>
        <v>641.77750000000003</v>
      </c>
      <c r="O1013" s="234">
        <f t="shared" si="457"/>
        <v>0</v>
      </c>
      <c r="P1013" s="234">
        <f>E1013*G1013*K1013*L1013*15</f>
        <v>0</v>
      </c>
      <c r="Q1013" s="1341">
        <v>0</v>
      </c>
      <c r="R1013" s="157"/>
      <c r="S1013" s="157"/>
      <c r="T1013" s="157"/>
    </row>
    <row r="1014" spans="1:20" hidden="1" outlineLevel="1">
      <c r="A1014" s="1598" t="s">
        <v>1038</v>
      </c>
      <c r="B1014" s="1316" t="s">
        <v>434</v>
      </c>
      <c r="C1014" s="1316" t="s">
        <v>435</v>
      </c>
      <c r="D1014" s="1317" t="s">
        <v>433</v>
      </c>
      <c r="E1014" s="1318">
        <v>1</v>
      </c>
      <c r="F1014" s="1317" t="s">
        <v>444</v>
      </c>
      <c r="G1014" s="1315">
        <v>13816</v>
      </c>
      <c r="H1014" s="238">
        <f>SUM(I1014:K1014)</f>
        <v>2.3569E-2</v>
      </c>
      <c r="I1014" s="1333">
        <v>1.274E-2</v>
      </c>
      <c r="J1014" s="1333">
        <v>1.0829E-2</v>
      </c>
      <c r="K1014" s="1333"/>
      <c r="L1014" s="1318">
        <v>1</v>
      </c>
      <c r="M1014" s="233">
        <f>SUM(N1014:P1014)-Q1014</f>
        <v>1672.15048</v>
      </c>
      <c r="N1014" s="233">
        <f t="shared" si="456"/>
        <v>176.01584</v>
      </c>
      <c r="O1014" s="234">
        <f t="shared" si="457"/>
        <v>1496.13464</v>
      </c>
      <c r="P1014" s="234">
        <f>E1014*G1014*K1014*L1014*15</f>
        <v>0</v>
      </c>
      <c r="Q1014" s="1341">
        <v>0</v>
      </c>
      <c r="R1014" s="157"/>
      <c r="S1014" s="157"/>
      <c r="T1014" s="157"/>
    </row>
    <row r="1015" spans="1:20" hidden="1" outlineLevel="1">
      <c r="A1015" s="1598" t="s">
        <v>1038</v>
      </c>
      <c r="B1015" s="1320" t="s">
        <v>434</v>
      </c>
      <c r="C1015" s="1320" t="s">
        <v>435</v>
      </c>
      <c r="D1015" s="1321" t="s">
        <v>433</v>
      </c>
      <c r="E1015" s="1322">
        <v>1</v>
      </c>
      <c r="F1015" s="1324" t="s">
        <v>445</v>
      </c>
      <c r="G1015" s="1323">
        <v>27975</v>
      </c>
      <c r="H1015" s="239">
        <f t="shared" ref="H1015:H1022" si="472">SUM(I1015:K1015)</f>
        <v>4.2700000000000002E-4</v>
      </c>
      <c r="I1015" s="1335">
        <v>4.2700000000000002E-4</v>
      </c>
      <c r="J1015" s="1335"/>
      <c r="K1015" s="1335"/>
      <c r="L1015" s="1322">
        <v>1</v>
      </c>
      <c r="M1015" s="227">
        <f t="shared" ref="M1015" si="473">SUM(N1015:P1015)-Q1015</f>
        <v>11.945325</v>
      </c>
      <c r="N1015" s="227">
        <f t="shared" si="456"/>
        <v>11.945325</v>
      </c>
      <c r="O1015" s="228">
        <f t="shared" si="457"/>
        <v>0</v>
      </c>
      <c r="P1015" s="228">
        <f t="shared" ref="P1015" si="474">E1015*G1015*K1015*L1015*15</f>
        <v>0</v>
      </c>
      <c r="Q1015" s="1342">
        <v>0</v>
      </c>
      <c r="R1015" s="1602"/>
      <c r="S1015" s="1602"/>
      <c r="T1015" s="157"/>
    </row>
    <row r="1016" spans="1:20" hidden="1" outlineLevel="1">
      <c r="A1016" s="1598" t="s">
        <v>1038</v>
      </c>
      <c r="B1016" s="1320" t="s">
        <v>869</v>
      </c>
      <c r="C1016" s="1320" t="s">
        <v>870</v>
      </c>
      <c r="D1016" s="1321" t="s">
        <v>433</v>
      </c>
      <c r="E1016" s="1322">
        <v>1</v>
      </c>
      <c r="F1016" s="1324" t="s">
        <v>442</v>
      </c>
      <c r="G1016" s="1323">
        <v>4811</v>
      </c>
      <c r="H1016" s="239">
        <f t="shared" si="472"/>
        <v>0</v>
      </c>
      <c r="I1016" s="1335"/>
      <c r="J1016" s="1335"/>
      <c r="K1016" s="1335"/>
      <c r="L1016" s="1322">
        <v>0.5</v>
      </c>
      <c r="M1016" s="520">
        <f t="shared" ref="M1016:M1019" si="475">SUM(N1016:P1016)-Q1016</f>
        <v>0</v>
      </c>
      <c r="N1016" s="521">
        <v>0</v>
      </c>
      <c r="O1016" s="522">
        <f t="shared" ref="O1016:O1019" si="476">E1016*G1016*J1016</f>
        <v>0</v>
      </c>
      <c r="P1016" s="522"/>
      <c r="Q1016" s="1342">
        <v>0</v>
      </c>
      <c r="R1016" s="157"/>
      <c r="S1016" s="157"/>
      <c r="T1016" s="157"/>
    </row>
    <row r="1017" spans="1:20" hidden="1" outlineLevel="1">
      <c r="A1017" s="1598" t="s">
        <v>1038</v>
      </c>
      <c r="B1017" s="1320" t="s">
        <v>1301</v>
      </c>
      <c r="C1017" s="1320" t="s">
        <v>867</v>
      </c>
      <c r="D1017" s="1321" t="s">
        <v>433</v>
      </c>
      <c r="E1017" s="1322">
        <v>1.5</v>
      </c>
      <c r="F1017" s="1324" t="s">
        <v>441</v>
      </c>
      <c r="G1017" s="1323">
        <v>580.53</v>
      </c>
      <c r="H1017" s="239">
        <f t="shared" si="472"/>
        <v>0</v>
      </c>
      <c r="I1017" s="1335"/>
      <c r="J1017" s="1335"/>
      <c r="K1017" s="1335"/>
      <c r="L1017" s="1322">
        <v>0.5</v>
      </c>
      <c r="M1017" s="520">
        <f t="shared" si="475"/>
        <v>0</v>
      </c>
      <c r="N1017" s="521">
        <v>0</v>
      </c>
      <c r="O1017" s="522">
        <f t="shared" si="476"/>
        <v>0</v>
      </c>
      <c r="P1017" s="522"/>
      <c r="Q1017" s="1342">
        <v>0</v>
      </c>
      <c r="R1017" s="157"/>
      <c r="S1017" s="157"/>
      <c r="T1017" s="157"/>
    </row>
    <row r="1018" spans="1:20" hidden="1" outlineLevel="1">
      <c r="A1018" s="1598" t="s">
        <v>1038</v>
      </c>
      <c r="B1018" s="1325" t="s">
        <v>620</v>
      </c>
      <c r="C1018" s="1325" t="s">
        <v>621</v>
      </c>
      <c r="D1018" s="1321" t="s">
        <v>433</v>
      </c>
      <c r="E1018" s="1327">
        <v>1</v>
      </c>
      <c r="F1018" s="1324" t="s">
        <v>441</v>
      </c>
      <c r="G1018" s="1323">
        <v>580.53</v>
      </c>
      <c r="H1018" s="239">
        <f t="shared" ref="H1018:H1019" si="477">SUM(I1018:K1018)</f>
        <v>2.4992E-2</v>
      </c>
      <c r="I1018" s="1338">
        <v>2.2720000000000001E-2</v>
      </c>
      <c r="J1018" s="1338">
        <v>2.2720000000000001E-3</v>
      </c>
      <c r="K1018" s="1338"/>
      <c r="L1018" s="1322">
        <v>1</v>
      </c>
      <c r="M1018" s="520">
        <f t="shared" si="475"/>
        <v>1.3189641599999999</v>
      </c>
      <c r="N1018" s="521">
        <v>0</v>
      </c>
      <c r="O1018" s="522">
        <f t="shared" si="476"/>
        <v>1.3189641599999999</v>
      </c>
      <c r="P1018" s="522"/>
      <c r="Q1018" s="1342">
        <v>0</v>
      </c>
      <c r="R1018" s="1602"/>
      <c r="S1018" s="157"/>
      <c r="T1018" s="157"/>
    </row>
    <row r="1019" spans="1:20" hidden="1" outlineLevel="1">
      <c r="A1019" s="1598" t="s">
        <v>1038</v>
      </c>
      <c r="B1019" s="1325" t="s">
        <v>622</v>
      </c>
      <c r="C1019" s="1325" t="s">
        <v>619</v>
      </c>
      <c r="D1019" s="1321" t="s">
        <v>433</v>
      </c>
      <c r="E1019" s="1327">
        <v>1</v>
      </c>
      <c r="F1019" s="1324" t="s">
        <v>441</v>
      </c>
      <c r="G1019" s="1323">
        <v>580.53</v>
      </c>
      <c r="H1019" s="239">
        <f t="shared" si="477"/>
        <v>0.87248199999999998</v>
      </c>
      <c r="I1019" s="1338">
        <v>0.75868000000000002</v>
      </c>
      <c r="J1019" s="1338">
        <v>0.113802</v>
      </c>
      <c r="K1019" s="1338"/>
      <c r="L1019" s="1322">
        <v>1</v>
      </c>
      <c r="M1019" s="520">
        <f t="shared" si="475"/>
        <v>66.065475059999997</v>
      </c>
      <c r="N1019" s="521">
        <v>0</v>
      </c>
      <c r="O1019" s="522">
        <f t="shared" si="476"/>
        <v>66.065475059999997</v>
      </c>
      <c r="P1019" s="522"/>
      <c r="Q1019" s="1342">
        <v>0</v>
      </c>
      <c r="R1019" s="1602"/>
      <c r="S1019" s="157"/>
      <c r="T1019" s="157"/>
    </row>
    <row r="1020" spans="1:20" s="177" customFormat="1" hidden="1" outlineLevel="1">
      <c r="A1020" s="1598" t="s">
        <v>1038</v>
      </c>
      <c r="B1020" s="1316" t="s">
        <v>436</v>
      </c>
      <c r="C1020" s="1316" t="s">
        <v>591</v>
      </c>
      <c r="D1020" s="1317" t="s">
        <v>433</v>
      </c>
      <c r="E1020" s="1318">
        <v>1</v>
      </c>
      <c r="F1020" s="1317" t="s">
        <v>868</v>
      </c>
      <c r="G1020" s="1315">
        <v>1579</v>
      </c>
      <c r="H1020" s="238">
        <f t="shared" si="472"/>
        <v>0</v>
      </c>
      <c r="I1020" s="1333"/>
      <c r="J1020" s="1333"/>
      <c r="K1020" s="1333"/>
      <c r="L1020" s="1318">
        <v>0.5</v>
      </c>
      <c r="M1020" s="233">
        <f t="shared" ref="M1020:M1022" si="478">SUM(N1020:P1020)-Q1020</f>
        <v>0</v>
      </c>
      <c r="N1020" s="233">
        <f t="shared" ref="N1020:N1049" si="479">E1020*G1020*I1020*L1020</f>
        <v>0</v>
      </c>
      <c r="O1020" s="234">
        <f t="shared" ref="O1020:O1049" si="480">E1020*G1020*J1020*L1020*10</f>
        <v>0</v>
      </c>
      <c r="P1020" s="234">
        <f t="shared" ref="P1020:P1027" si="481">E1020*G1020*K1020*L1020*15</f>
        <v>0</v>
      </c>
      <c r="Q1020" s="1341">
        <v>0</v>
      </c>
      <c r="R1020" s="157"/>
      <c r="S1020" s="1603"/>
      <c r="T1020" s="1603"/>
    </row>
    <row r="1021" spans="1:20" hidden="1" outlineLevel="1">
      <c r="A1021" s="1598" t="s">
        <v>1038</v>
      </c>
      <c r="B1021" s="1316" t="s">
        <v>436</v>
      </c>
      <c r="C1021" s="1316" t="s">
        <v>591</v>
      </c>
      <c r="D1021" s="1317" t="s">
        <v>433</v>
      </c>
      <c r="E1021" s="1318">
        <v>1</v>
      </c>
      <c r="F1021" s="1319" t="s">
        <v>441</v>
      </c>
      <c r="G1021" s="1315">
        <v>580.53</v>
      </c>
      <c r="H1021" s="238">
        <f t="shared" si="472"/>
        <v>0</v>
      </c>
      <c r="I1021" s="1333"/>
      <c r="J1021" s="1333"/>
      <c r="K1021" s="1333"/>
      <c r="L1021" s="1318">
        <v>0.5</v>
      </c>
      <c r="M1021" s="233">
        <f t="shared" si="478"/>
        <v>0</v>
      </c>
      <c r="N1021" s="233">
        <f t="shared" si="479"/>
        <v>0</v>
      </c>
      <c r="O1021" s="234">
        <f t="shared" si="480"/>
        <v>0</v>
      </c>
      <c r="P1021" s="234">
        <f t="shared" si="481"/>
        <v>0</v>
      </c>
      <c r="Q1021" s="1341">
        <v>0</v>
      </c>
      <c r="R1021" s="157"/>
      <c r="S1021" s="157"/>
      <c r="T1021" s="157"/>
    </row>
    <row r="1022" spans="1:20" hidden="1" outlineLevel="1">
      <c r="A1022" s="1598" t="s">
        <v>1038</v>
      </c>
      <c r="B1022" s="1316" t="s">
        <v>436</v>
      </c>
      <c r="C1022" s="1316" t="s">
        <v>591</v>
      </c>
      <c r="D1022" s="1317" t="s">
        <v>433</v>
      </c>
      <c r="E1022" s="1318">
        <v>1</v>
      </c>
      <c r="F1022" s="1319" t="s">
        <v>443</v>
      </c>
      <c r="G1022" s="1315">
        <v>3250</v>
      </c>
      <c r="H1022" s="238">
        <f t="shared" si="472"/>
        <v>0</v>
      </c>
      <c r="I1022" s="1333"/>
      <c r="J1022" s="1333"/>
      <c r="K1022" s="1333"/>
      <c r="L1022" s="1318">
        <v>0.5</v>
      </c>
      <c r="M1022" s="233">
        <f t="shared" si="478"/>
        <v>0</v>
      </c>
      <c r="N1022" s="233">
        <f t="shared" si="479"/>
        <v>0</v>
      </c>
      <c r="O1022" s="234">
        <f t="shared" si="480"/>
        <v>0</v>
      </c>
      <c r="P1022" s="234">
        <f t="shared" si="481"/>
        <v>0</v>
      </c>
      <c r="Q1022" s="1341">
        <v>0</v>
      </c>
      <c r="R1022" s="157"/>
      <c r="S1022" s="157"/>
      <c r="T1022" s="157"/>
    </row>
    <row r="1023" spans="1:20" hidden="1" outlineLevel="1">
      <c r="A1023" s="1598" t="s">
        <v>1038</v>
      </c>
      <c r="B1023" s="1320" t="s">
        <v>436</v>
      </c>
      <c r="C1023" s="1320" t="s">
        <v>591</v>
      </c>
      <c r="D1023" s="1321" t="s">
        <v>433</v>
      </c>
      <c r="E1023" s="1322">
        <v>1</v>
      </c>
      <c r="F1023" s="1324" t="s">
        <v>444</v>
      </c>
      <c r="G1023" s="1323">
        <v>13816</v>
      </c>
      <c r="H1023" s="239">
        <f t="shared" ref="H1023:H1027" si="482">SUM(I1023:K1023)</f>
        <v>0</v>
      </c>
      <c r="I1023" s="1335"/>
      <c r="J1023" s="1335"/>
      <c r="K1023" s="1335"/>
      <c r="L1023" s="1322">
        <v>0.5</v>
      </c>
      <c r="M1023" s="227">
        <f t="shared" ref="M1023:M1027" si="483">SUM(N1023:P1023)-Q1023</f>
        <v>0</v>
      </c>
      <c r="N1023" s="227">
        <f t="shared" si="479"/>
        <v>0</v>
      </c>
      <c r="O1023" s="228">
        <f t="shared" si="480"/>
        <v>0</v>
      </c>
      <c r="P1023" s="228">
        <f t="shared" si="481"/>
        <v>0</v>
      </c>
      <c r="Q1023" s="1342">
        <v>0</v>
      </c>
      <c r="R1023" s="157"/>
      <c r="S1023" s="157"/>
      <c r="T1023" s="157"/>
    </row>
    <row r="1024" spans="1:20" hidden="1" outlineLevel="1">
      <c r="A1024" s="1598" t="s">
        <v>1038</v>
      </c>
      <c r="B1024" s="1316" t="s">
        <v>437</v>
      </c>
      <c r="C1024" s="1316" t="s">
        <v>592</v>
      </c>
      <c r="D1024" s="1317" t="s">
        <v>433</v>
      </c>
      <c r="E1024" s="1318">
        <v>1</v>
      </c>
      <c r="F1024" s="1317" t="s">
        <v>868</v>
      </c>
      <c r="G1024" s="1315">
        <v>1579</v>
      </c>
      <c r="H1024" s="238">
        <f t="shared" si="482"/>
        <v>1.1999999999999999E-3</v>
      </c>
      <c r="I1024" s="1333">
        <v>1.1999999999999999E-3</v>
      </c>
      <c r="J1024" s="1333"/>
      <c r="K1024" s="1333"/>
      <c r="L1024" s="1318">
        <v>0.5</v>
      </c>
      <c r="M1024" s="233">
        <f t="shared" si="483"/>
        <v>0.94739999999999991</v>
      </c>
      <c r="N1024" s="233">
        <f t="shared" si="479"/>
        <v>0.94739999999999991</v>
      </c>
      <c r="O1024" s="234">
        <f t="shared" si="480"/>
        <v>0</v>
      </c>
      <c r="P1024" s="234">
        <f t="shared" si="481"/>
        <v>0</v>
      </c>
      <c r="Q1024" s="1341">
        <v>0</v>
      </c>
      <c r="R1024" s="1602"/>
      <c r="S1024" s="157"/>
      <c r="T1024" s="157"/>
    </row>
    <row r="1025" spans="1:20" hidden="1" outlineLevel="1">
      <c r="A1025" s="1598" t="s">
        <v>1038</v>
      </c>
      <c r="B1025" s="1316" t="s">
        <v>437</v>
      </c>
      <c r="C1025" s="1316" t="s">
        <v>592</v>
      </c>
      <c r="D1025" s="1317" t="s">
        <v>433</v>
      </c>
      <c r="E1025" s="1318">
        <v>1</v>
      </c>
      <c r="F1025" s="1319" t="s">
        <v>441</v>
      </c>
      <c r="G1025" s="1315">
        <v>580.53</v>
      </c>
      <c r="H1025" s="238">
        <f t="shared" si="482"/>
        <v>8.25E-4</v>
      </c>
      <c r="I1025" s="1333">
        <v>8.25E-4</v>
      </c>
      <c r="J1025" s="1333"/>
      <c r="K1025" s="1333"/>
      <c r="L1025" s="1318">
        <v>0.5</v>
      </c>
      <c r="M1025" s="233">
        <f t="shared" si="483"/>
        <v>0.23946862499999999</v>
      </c>
      <c r="N1025" s="233">
        <f t="shared" si="479"/>
        <v>0.23946862499999999</v>
      </c>
      <c r="O1025" s="234">
        <f t="shared" si="480"/>
        <v>0</v>
      </c>
      <c r="P1025" s="234">
        <f t="shared" si="481"/>
        <v>0</v>
      </c>
      <c r="Q1025" s="1341">
        <v>0</v>
      </c>
      <c r="R1025" s="157"/>
      <c r="S1025" s="157"/>
      <c r="T1025" s="157"/>
    </row>
    <row r="1026" spans="1:20" hidden="1" outlineLevel="1">
      <c r="A1026" s="1598" t="s">
        <v>1038</v>
      </c>
      <c r="B1026" s="1316" t="s">
        <v>437</v>
      </c>
      <c r="C1026" s="1316" t="s">
        <v>592</v>
      </c>
      <c r="D1026" s="1317" t="s">
        <v>433</v>
      </c>
      <c r="E1026" s="1318">
        <v>1</v>
      </c>
      <c r="F1026" s="1319" t="s">
        <v>443</v>
      </c>
      <c r="G1026" s="1315">
        <v>3250</v>
      </c>
      <c r="H1026" s="238">
        <f t="shared" si="482"/>
        <v>2.7E-4</v>
      </c>
      <c r="I1026" s="1333">
        <v>2.7E-4</v>
      </c>
      <c r="J1026" s="1333"/>
      <c r="K1026" s="1333"/>
      <c r="L1026" s="1318">
        <v>0.5</v>
      </c>
      <c r="M1026" s="233">
        <f t="shared" si="483"/>
        <v>0.43875000000000003</v>
      </c>
      <c r="N1026" s="233">
        <f t="shared" si="479"/>
        <v>0.43875000000000003</v>
      </c>
      <c r="O1026" s="234">
        <f t="shared" si="480"/>
        <v>0</v>
      </c>
      <c r="P1026" s="234">
        <f t="shared" si="481"/>
        <v>0</v>
      </c>
      <c r="Q1026" s="1341">
        <v>0</v>
      </c>
      <c r="R1026" s="157"/>
      <c r="S1026" s="157"/>
      <c r="T1026" s="157"/>
    </row>
    <row r="1027" spans="1:20" hidden="1" outlineLevel="1">
      <c r="A1027" s="1598" t="s">
        <v>1038</v>
      </c>
      <c r="B1027" s="1320" t="s">
        <v>437</v>
      </c>
      <c r="C1027" s="1320" t="s">
        <v>592</v>
      </c>
      <c r="D1027" s="1321" t="s">
        <v>433</v>
      </c>
      <c r="E1027" s="1322">
        <v>1</v>
      </c>
      <c r="F1027" s="1324" t="s">
        <v>444</v>
      </c>
      <c r="G1027" s="1323">
        <v>13816</v>
      </c>
      <c r="H1027" s="239">
        <f t="shared" si="482"/>
        <v>6.6000000000000005E-5</v>
      </c>
      <c r="I1027" s="1335">
        <v>6.6000000000000005E-5</v>
      </c>
      <c r="J1027" s="1335"/>
      <c r="K1027" s="1335"/>
      <c r="L1027" s="1322">
        <v>0.5</v>
      </c>
      <c r="M1027" s="227">
        <f t="shared" si="483"/>
        <v>0.45592800000000006</v>
      </c>
      <c r="N1027" s="227">
        <f t="shared" si="479"/>
        <v>0.45592800000000006</v>
      </c>
      <c r="O1027" s="228">
        <f t="shared" si="480"/>
        <v>0</v>
      </c>
      <c r="P1027" s="228">
        <f t="shared" si="481"/>
        <v>0</v>
      </c>
      <c r="Q1027" s="1342">
        <v>0</v>
      </c>
      <c r="R1027" s="1602"/>
      <c r="S1027" s="157"/>
      <c r="T1027" s="157"/>
    </row>
    <row r="1028" spans="1:20" hidden="1" outlineLevel="1">
      <c r="A1028" s="1598" t="s">
        <v>1038</v>
      </c>
      <c r="B1028" s="1316" t="s">
        <v>438</v>
      </c>
      <c r="C1028" s="1316" t="s">
        <v>593</v>
      </c>
      <c r="D1028" s="1317" t="s">
        <v>433</v>
      </c>
      <c r="E1028" s="1318">
        <v>1</v>
      </c>
      <c r="F1028" s="1319" t="s">
        <v>868</v>
      </c>
      <c r="G1028" s="1315">
        <v>1579</v>
      </c>
      <c r="H1028" s="238">
        <f>SUM(I1028:K1028)</f>
        <v>9.3720000000000001E-3</v>
      </c>
      <c r="I1028" s="1333">
        <v>4.2599999999999999E-3</v>
      </c>
      <c r="J1028" s="1333">
        <v>5.1120000000000002E-3</v>
      </c>
      <c r="K1028" s="1333"/>
      <c r="L1028" s="1318">
        <v>1</v>
      </c>
      <c r="M1028" s="1600">
        <f>SUM(N1028:P1028)-Q1028</f>
        <v>87.445020000000014</v>
      </c>
      <c r="N1028" s="233">
        <f t="shared" si="479"/>
        <v>6.72654</v>
      </c>
      <c r="O1028" s="234">
        <f t="shared" si="480"/>
        <v>80.718480000000014</v>
      </c>
      <c r="P1028" s="234">
        <f>E1028*G1028*K1028*L1028*15</f>
        <v>0</v>
      </c>
      <c r="Q1028" s="1341">
        <v>0</v>
      </c>
      <c r="R1028" s="1602"/>
      <c r="S1028" s="157"/>
      <c r="T1028" s="157"/>
    </row>
    <row r="1029" spans="1:20" hidden="1" outlineLevel="1">
      <c r="A1029" s="1598" t="s">
        <v>1038</v>
      </c>
      <c r="B1029" s="1316" t="s">
        <v>438</v>
      </c>
      <c r="C1029" s="1316" t="s">
        <v>593</v>
      </c>
      <c r="D1029" s="1317" t="s">
        <v>433</v>
      </c>
      <c r="E1029" s="1318">
        <v>1</v>
      </c>
      <c r="F1029" s="1319" t="s">
        <v>441</v>
      </c>
      <c r="G1029" s="1315">
        <v>580.53</v>
      </c>
      <c r="H1029" s="238">
        <f t="shared" ref="H1029" si="484">SUM(I1029:K1029)</f>
        <v>5.1120000000000002E-3</v>
      </c>
      <c r="I1029" s="1333">
        <v>4.2599999999999999E-3</v>
      </c>
      <c r="J1029" s="1333">
        <v>8.52E-4</v>
      </c>
      <c r="K1029" s="1333"/>
      <c r="L1029" s="1318">
        <v>1</v>
      </c>
      <c r="M1029" s="1600">
        <f t="shared" ref="M1029" si="485">SUM(N1029:P1029)-Q1029</f>
        <v>7.4191734</v>
      </c>
      <c r="N1029" s="233">
        <f t="shared" si="479"/>
        <v>2.4730577999999999</v>
      </c>
      <c r="O1029" s="234">
        <f t="shared" si="480"/>
        <v>4.9461155999999997</v>
      </c>
      <c r="P1029" s="234">
        <f t="shared" ref="P1029:P1049" si="486">E1029*G1029*K1029*L1029*15</f>
        <v>0</v>
      </c>
      <c r="Q1029" s="1341">
        <v>0</v>
      </c>
      <c r="R1029" s="157"/>
      <c r="S1029" s="157"/>
      <c r="T1029" s="157"/>
    </row>
    <row r="1030" spans="1:20" ht="14.4" hidden="1" outlineLevel="1">
      <c r="A1030" s="1598" t="s">
        <v>1038</v>
      </c>
      <c r="B1030" s="1316" t="s">
        <v>438</v>
      </c>
      <c r="C1030" s="1316" t="s">
        <v>593</v>
      </c>
      <c r="D1030" s="1317" t="s">
        <v>433</v>
      </c>
      <c r="E1030" s="1318">
        <v>1</v>
      </c>
      <c r="F1030" s="1319" t="s">
        <v>442</v>
      </c>
      <c r="G1030" s="1315">
        <v>4811</v>
      </c>
      <c r="H1030" s="238">
        <f t="shared" ref="H1030:H1040" si="487">SUM(I1030:K1030)</f>
        <v>3.6900000000000002E-4</v>
      </c>
      <c r="I1030" s="1333">
        <v>2.8400000000000002E-4</v>
      </c>
      <c r="J1030" s="1333">
        <v>8.5000000000000006E-5</v>
      </c>
      <c r="K1030" s="1333"/>
      <c r="L1030" s="1318">
        <v>1</v>
      </c>
      <c r="M1030" s="1600">
        <f t="shared" ref="M1030:M1040" si="488">SUM(N1030:P1030)-Q1030</f>
        <v>5.4556740000000001</v>
      </c>
      <c r="N1030" s="233">
        <f t="shared" si="479"/>
        <v>1.3663240000000001</v>
      </c>
      <c r="O1030" s="234">
        <f t="shared" si="480"/>
        <v>4.0893500000000005</v>
      </c>
      <c r="P1030" s="234">
        <f t="shared" si="486"/>
        <v>0</v>
      </c>
      <c r="Q1030" s="1341">
        <v>0</v>
      </c>
      <c r="R1030" s="157"/>
      <c r="S1030" s="1606"/>
      <c r="T1030" s="157"/>
    </row>
    <row r="1031" spans="1:20" ht="14.4" hidden="1" outlineLevel="1">
      <c r="A1031" s="1598" t="s">
        <v>1038</v>
      </c>
      <c r="B1031" s="1316" t="s">
        <v>438</v>
      </c>
      <c r="C1031" s="1316" t="s">
        <v>593</v>
      </c>
      <c r="D1031" s="1317" t="s">
        <v>433</v>
      </c>
      <c r="E1031" s="1318">
        <v>1</v>
      </c>
      <c r="F1031" s="1319" t="s">
        <v>443</v>
      </c>
      <c r="G1031" s="1315">
        <v>3250</v>
      </c>
      <c r="H1031" s="238">
        <f t="shared" si="487"/>
        <v>3.9760000000000004E-3</v>
      </c>
      <c r="I1031" s="1333">
        <v>3.9760000000000004E-3</v>
      </c>
      <c r="J1031" s="1333"/>
      <c r="K1031" s="1333"/>
      <c r="L1031" s="1318">
        <v>1</v>
      </c>
      <c r="M1031" s="1600">
        <f t="shared" si="488"/>
        <v>12.922000000000001</v>
      </c>
      <c r="N1031" s="233">
        <f t="shared" si="479"/>
        <v>12.922000000000001</v>
      </c>
      <c r="O1031" s="234">
        <f t="shared" si="480"/>
        <v>0</v>
      </c>
      <c r="P1031" s="234">
        <f t="shared" si="486"/>
        <v>0</v>
      </c>
      <c r="Q1031" s="1341">
        <v>0</v>
      </c>
      <c r="R1031" s="157"/>
      <c r="S1031" s="1606"/>
      <c r="T1031" s="157"/>
    </row>
    <row r="1032" spans="1:20" hidden="1" outlineLevel="1">
      <c r="A1032" s="1598" t="s">
        <v>1038</v>
      </c>
      <c r="B1032" s="1316" t="s">
        <v>438</v>
      </c>
      <c r="C1032" s="1316" t="s">
        <v>593</v>
      </c>
      <c r="D1032" s="1317" t="s">
        <v>433</v>
      </c>
      <c r="E1032" s="1318">
        <v>1</v>
      </c>
      <c r="F1032" s="1319" t="s">
        <v>444</v>
      </c>
      <c r="G1032" s="1315">
        <v>13816</v>
      </c>
      <c r="H1032" s="238">
        <f t="shared" si="487"/>
        <v>4.8300000000000003E-4</v>
      </c>
      <c r="I1032" s="1333">
        <v>1.4200000000000001E-4</v>
      </c>
      <c r="J1032" s="1333">
        <v>3.4099999999999999E-4</v>
      </c>
      <c r="K1032" s="1333"/>
      <c r="L1032" s="1318">
        <v>1</v>
      </c>
      <c r="M1032" s="1600">
        <f t="shared" si="488"/>
        <v>49.074431999999995</v>
      </c>
      <c r="N1032" s="233">
        <f t="shared" si="479"/>
        <v>1.9618720000000001</v>
      </c>
      <c r="O1032" s="234">
        <f t="shared" si="480"/>
        <v>47.112559999999995</v>
      </c>
      <c r="P1032" s="234">
        <f t="shared" si="486"/>
        <v>0</v>
      </c>
      <c r="Q1032" s="1341">
        <v>0</v>
      </c>
      <c r="R1032" s="157"/>
      <c r="S1032" s="157"/>
      <c r="T1032" s="157"/>
    </row>
    <row r="1033" spans="1:20" hidden="1" outlineLevel="1">
      <c r="A1033" s="1598" t="s">
        <v>1038</v>
      </c>
      <c r="B1033" s="1320" t="s">
        <v>438</v>
      </c>
      <c r="C1033" s="1320" t="s">
        <v>593</v>
      </c>
      <c r="D1033" s="1321" t="s">
        <v>433</v>
      </c>
      <c r="E1033" s="1322">
        <v>1</v>
      </c>
      <c r="F1033" s="1324" t="s">
        <v>445</v>
      </c>
      <c r="G1033" s="1323">
        <v>27975</v>
      </c>
      <c r="H1033" s="239">
        <f t="shared" si="487"/>
        <v>2.8E-5</v>
      </c>
      <c r="I1033" s="1335">
        <v>2.8E-5</v>
      </c>
      <c r="J1033" s="1335"/>
      <c r="K1033" s="1335"/>
      <c r="L1033" s="1322">
        <v>1</v>
      </c>
      <c r="M1033" s="1601">
        <f t="shared" si="488"/>
        <v>0.7833</v>
      </c>
      <c r="N1033" s="227">
        <f t="shared" si="479"/>
        <v>0.7833</v>
      </c>
      <c r="O1033" s="228">
        <f t="shared" si="480"/>
        <v>0</v>
      </c>
      <c r="P1033" s="228">
        <f t="shared" si="486"/>
        <v>0</v>
      </c>
      <c r="Q1033" s="1342">
        <v>0</v>
      </c>
      <c r="R1033" s="1602"/>
      <c r="S1033" s="1602"/>
      <c r="T1033" s="157"/>
    </row>
    <row r="1034" spans="1:20" hidden="1" outlineLevel="1">
      <c r="A1034" s="1598" t="s">
        <v>1038</v>
      </c>
      <c r="B1034" s="1316" t="s">
        <v>418</v>
      </c>
      <c r="C1034" s="1316" t="s">
        <v>439</v>
      </c>
      <c r="D1034" s="1317" t="s">
        <v>433</v>
      </c>
      <c r="E1034" s="1318">
        <v>1.5</v>
      </c>
      <c r="F1034" s="1319" t="s">
        <v>868</v>
      </c>
      <c r="G1034" s="1315">
        <v>1579</v>
      </c>
      <c r="H1034" s="238">
        <f t="shared" si="487"/>
        <v>5.1839999999999997E-2</v>
      </c>
      <c r="I1034" s="1333">
        <v>5.1839999999999997E-2</v>
      </c>
      <c r="J1034" s="1333"/>
      <c r="K1034" s="1333"/>
      <c r="L1034" s="1318">
        <v>0.5</v>
      </c>
      <c r="M1034" s="233">
        <f t="shared" si="488"/>
        <v>61.39152</v>
      </c>
      <c r="N1034" s="233">
        <f t="shared" si="479"/>
        <v>61.39152</v>
      </c>
      <c r="O1034" s="234">
        <f t="shared" si="480"/>
        <v>0</v>
      </c>
      <c r="P1034" s="234">
        <f t="shared" si="486"/>
        <v>0</v>
      </c>
      <c r="Q1034" s="1341">
        <v>0</v>
      </c>
      <c r="R1034" s="1602"/>
      <c r="S1034" s="157"/>
      <c r="T1034" s="157"/>
    </row>
    <row r="1035" spans="1:20" hidden="1" outlineLevel="1">
      <c r="A1035" s="1598" t="s">
        <v>1038</v>
      </c>
      <c r="B1035" s="1316" t="s">
        <v>418</v>
      </c>
      <c r="C1035" s="1316" t="s">
        <v>439</v>
      </c>
      <c r="D1035" s="1317" t="s">
        <v>433</v>
      </c>
      <c r="E1035" s="1318">
        <v>1.5</v>
      </c>
      <c r="F1035" s="1319" t="s">
        <v>441</v>
      </c>
      <c r="G1035" s="1315">
        <v>580.53</v>
      </c>
      <c r="H1035" s="238">
        <f t="shared" si="487"/>
        <v>0.14688000000000001</v>
      </c>
      <c r="I1035" s="1333">
        <v>0.14688000000000001</v>
      </c>
      <c r="J1035" s="1333"/>
      <c r="K1035" s="1333"/>
      <c r="L1035" s="1318">
        <v>0.5</v>
      </c>
      <c r="M1035" s="233">
        <f t="shared" si="488"/>
        <v>63.9511848</v>
      </c>
      <c r="N1035" s="233">
        <f t="shared" si="479"/>
        <v>63.9511848</v>
      </c>
      <c r="O1035" s="234">
        <f t="shared" si="480"/>
        <v>0</v>
      </c>
      <c r="P1035" s="234">
        <f t="shared" si="486"/>
        <v>0</v>
      </c>
      <c r="Q1035" s="1341">
        <v>0</v>
      </c>
      <c r="R1035" s="157"/>
      <c r="S1035" s="157"/>
      <c r="T1035" s="157"/>
    </row>
    <row r="1036" spans="1:20" hidden="1" outlineLevel="1">
      <c r="A1036" s="1598" t="s">
        <v>1038</v>
      </c>
      <c r="B1036" s="1316" t="s">
        <v>418</v>
      </c>
      <c r="C1036" s="1316" t="s">
        <v>439</v>
      </c>
      <c r="D1036" s="1317" t="s">
        <v>433</v>
      </c>
      <c r="E1036" s="1318">
        <v>1.5</v>
      </c>
      <c r="F1036" s="1319" t="s">
        <v>442</v>
      </c>
      <c r="G1036" s="1315">
        <v>4811</v>
      </c>
      <c r="H1036" s="238">
        <f t="shared" si="487"/>
        <v>0</v>
      </c>
      <c r="I1036" s="1333"/>
      <c r="J1036" s="1333"/>
      <c r="K1036" s="1333"/>
      <c r="L1036" s="1318">
        <v>0.5</v>
      </c>
      <c r="M1036" s="233">
        <f t="shared" si="488"/>
        <v>0</v>
      </c>
      <c r="N1036" s="233">
        <f t="shared" si="479"/>
        <v>0</v>
      </c>
      <c r="O1036" s="234">
        <f t="shared" si="480"/>
        <v>0</v>
      </c>
      <c r="P1036" s="234">
        <f t="shared" si="486"/>
        <v>0</v>
      </c>
      <c r="Q1036" s="1341">
        <v>0</v>
      </c>
      <c r="R1036" s="157"/>
      <c r="S1036" s="157"/>
      <c r="T1036" s="157"/>
    </row>
    <row r="1037" spans="1:20" hidden="1" outlineLevel="1">
      <c r="A1037" s="1598" t="s">
        <v>1038</v>
      </c>
      <c r="B1037" s="1316" t="s">
        <v>418</v>
      </c>
      <c r="C1037" s="1316" t="s">
        <v>439</v>
      </c>
      <c r="D1037" s="1317" t="s">
        <v>433</v>
      </c>
      <c r="E1037" s="1318">
        <v>1.5</v>
      </c>
      <c r="F1037" s="1319" t="s">
        <v>443</v>
      </c>
      <c r="G1037" s="1315">
        <v>3250</v>
      </c>
      <c r="H1037" s="238">
        <f t="shared" si="487"/>
        <v>3.5423999999999997E-2</v>
      </c>
      <c r="I1037" s="1333">
        <v>3.5423999999999997E-2</v>
      </c>
      <c r="J1037" s="1333"/>
      <c r="K1037" s="1333"/>
      <c r="L1037" s="1318">
        <v>0.5</v>
      </c>
      <c r="M1037" s="233">
        <f t="shared" si="488"/>
        <v>86.345999999999989</v>
      </c>
      <c r="N1037" s="233">
        <f t="shared" si="479"/>
        <v>86.345999999999989</v>
      </c>
      <c r="O1037" s="234">
        <f t="shared" si="480"/>
        <v>0</v>
      </c>
      <c r="P1037" s="234">
        <f t="shared" si="486"/>
        <v>0</v>
      </c>
      <c r="Q1037" s="1341">
        <v>0</v>
      </c>
      <c r="R1037" s="157"/>
      <c r="S1037" s="157"/>
      <c r="T1037" s="1602"/>
    </row>
    <row r="1038" spans="1:20" hidden="1" outlineLevel="1">
      <c r="A1038" s="1598" t="s">
        <v>1038</v>
      </c>
      <c r="B1038" s="1316" t="s">
        <v>418</v>
      </c>
      <c r="C1038" s="1316" t="s">
        <v>439</v>
      </c>
      <c r="D1038" s="1317" t="s">
        <v>433</v>
      </c>
      <c r="E1038" s="1318">
        <v>1.5</v>
      </c>
      <c r="F1038" s="1319" t="s">
        <v>444</v>
      </c>
      <c r="G1038" s="1315">
        <v>13816</v>
      </c>
      <c r="H1038" s="238">
        <f t="shared" si="487"/>
        <v>8.6400000000000001E-3</v>
      </c>
      <c r="I1038" s="1333">
        <v>8.6400000000000001E-3</v>
      </c>
      <c r="J1038" s="1333"/>
      <c r="K1038" s="1333"/>
      <c r="L1038" s="1318">
        <v>0.5</v>
      </c>
      <c r="M1038" s="233">
        <f t="shared" si="488"/>
        <v>89.527680000000004</v>
      </c>
      <c r="N1038" s="233">
        <f t="shared" si="479"/>
        <v>89.527680000000004</v>
      </c>
      <c r="O1038" s="234">
        <f t="shared" si="480"/>
        <v>0</v>
      </c>
      <c r="P1038" s="234">
        <f t="shared" si="486"/>
        <v>0</v>
      </c>
      <c r="Q1038" s="1341">
        <v>0</v>
      </c>
      <c r="R1038" s="157"/>
      <c r="S1038" s="157"/>
      <c r="T1038" s="1604"/>
    </row>
    <row r="1039" spans="1:20" hidden="1" outlineLevel="1">
      <c r="A1039" s="1598" t="s">
        <v>1038</v>
      </c>
      <c r="B1039" s="1320" t="s">
        <v>418</v>
      </c>
      <c r="C1039" s="1320" t="s">
        <v>439</v>
      </c>
      <c r="D1039" s="1321" t="s">
        <v>433</v>
      </c>
      <c r="E1039" s="1322">
        <v>1.5</v>
      </c>
      <c r="F1039" s="1324" t="s">
        <v>445</v>
      </c>
      <c r="G1039" s="1323">
        <v>27975</v>
      </c>
      <c r="H1039" s="239">
        <f t="shared" si="487"/>
        <v>0</v>
      </c>
      <c r="I1039" s="1335"/>
      <c r="J1039" s="1335"/>
      <c r="K1039" s="1335"/>
      <c r="L1039" s="1322">
        <v>0.5</v>
      </c>
      <c r="M1039" s="227">
        <f t="shared" si="488"/>
        <v>0</v>
      </c>
      <c r="N1039" s="227">
        <f t="shared" si="479"/>
        <v>0</v>
      </c>
      <c r="O1039" s="228">
        <f t="shared" si="480"/>
        <v>0</v>
      </c>
      <c r="P1039" s="228">
        <f t="shared" si="486"/>
        <v>0</v>
      </c>
      <c r="Q1039" s="1342">
        <v>0</v>
      </c>
      <c r="R1039" s="1602"/>
      <c r="S1039" s="157"/>
      <c r="T1039" s="157"/>
    </row>
    <row r="1040" spans="1:20" hidden="1" outlineLevel="1">
      <c r="A1040" s="1598" t="s">
        <v>1038</v>
      </c>
      <c r="B1040" s="1316" t="s">
        <v>411</v>
      </c>
      <c r="C1040" s="1316" t="s">
        <v>440</v>
      </c>
      <c r="D1040" s="1317" t="s">
        <v>433</v>
      </c>
      <c r="E1040" s="1318">
        <v>1.5</v>
      </c>
      <c r="F1040" s="1319" t="s">
        <v>868</v>
      </c>
      <c r="G1040" s="1315">
        <v>1579</v>
      </c>
      <c r="H1040" s="238">
        <f t="shared" si="487"/>
        <v>8.2785999999999998E-2</v>
      </c>
      <c r="I1040" s="1333">
        <v>6.2480000000000001E-2</v>
      </c>
      <c r="J1040" s="1333">
        <v>2.0306000000000001E-2</v>
      </c>
      <c r="K1040" s="1333"/>
      <c r="L1040" s="1318">
        <v>1</v>
      </c>
      <c r="M1040" s="233">
        <f t="shared" si="488"/>
        <v>628.93149000000005</v>
      </c>
      <c r="N1040" s="233">
        <f t="shared" si="479"/>
        <v>147.98388</v>
      </c>
      <c r="O1040" s="234">
        <f t="shared" si="480"/>
        <v>480.94761000000005</v>
      </c>
      <c r="P1040" s="234">
        <f t="shared" si="486"/>
        <v>0</v>
      </c>
      <c r="Q1040" s="1341">
        <v>0</v>
      </c>
      <c r="R1040" s="1602"/>
      <c r="S1040" s="157"/>
      <c r="T1040" s="157"/>
    </row>
    <row r="1041" spans="1:21" hidden="1" outlineLevel="1">
      <c r="A1041" s="1598" t="s">
        <v>1038</v>
      </c>
      <c r="B1041" s="1316" t="s">
        <v>411</v>
      </c>
      <c r="C1041" s="1316" t="s">
        <v>440</v>
      </c>
      <c r="D1041" s="1317" t="s">
        <v>433</v>
      </c>
      <c r="E1041" s="1318">
        <v>1.5</v>
      </c>
      <c r="F1041" s="1317" t="s">
        <v>441</v>
      </c>
      <c r="G1041" s="1315">
        <v>580.53</v>
      </c>
      <c r="H1041" s="238">
        <f t="shared" ref="H1041" si="489">SUM(I1041:K1041)</f>
        <v>6.7166000000000003E-2</v>
      </c>
      <c r="I1041" s="1333">
        <v>5.4670000000000003E-2</v>
      </c>
      <c r="J1041" s="1333">
        <v>1.2496E-2</v>
      </c>
      <c r="K1041" s="1333"/>
      <c r="L1041" s="1318">
        <v>1</v>
      </c>
      <c r="M1041" s="233">
        <f t="shared" ref="M1041:M1049" si="490">SUM(N1041:P1041)-Q1041</f>
        <v>156.42090585</v>
      </c>
      <c r="N1041" s="233">
        <f t="shared" si="479"/>
        <v>47.606362650000001</v>
      </c>
      <c r="O1041" s="234">
        <f t="shared" si="480"/>
        <v>108.8145432</v>
      </c>
      <c r="P1041" s="234">
        <f t="shared" si="486"/>
        <v>0</v>
      </c>
      <c r="Q1041" s="1341">
        <v>0</v>
      </c>
      <c r="R1041" s="157"/>
      <c r="S1041" s="157"/>
      <c r="T1041" s="157"/>
    </row>
    <row r="1042" spans="1:21" hidden="1" outlineLevel="1">
      <c r="A1042" s="1598" t="s">
        <v>1038</v>
      </c>
      <c r="B1042" s="1316" t="s">
        <v>411</v>
      </c>
      <c r="C1042" s="1316" t="s">
        <v>440</v>
      </c>
      <c r="D1042" s="1317" t="s">
        <v>433</v>
      </c>
      <c r="E1042" s="1318">
        <v>1.5</v>
      </c>
      <c r="F1042" s="1319" t="s">
        <v>442</v>
      </c>
      <c r="G1042" s="1315">
        <v>4811</v>
      </c>
      <c r="H1042" s="238">
        <f>SUM(I1042:K1042)</f>
        <v>0</v>
      </c>
      <c r="I1042" s="1333"/>
      <c r="J1042" s="1333"/>
      <c r="K1042" s="1333"/>
      <c r="L1042" s="1318">
        <v>1</v>
      </c>
      <c r="M1042" s="233">
        <f t="shared" si="490"/>
        <v>0</v>
      </c>
      <c r="N1042" s="233">
        <f t="shared" si="479"/>
        <v>0</v>
      </c>
      <c r="O1042" s="234">
        <f t="shared" si="480"/>
        <v>0</v>
      </c>
      <c r="P1042" s="234">
        <f t="shared" si="486"/>
        <v>0</v>
      </c>
      <c r="Q1042" s="1341">
        <v>0</v>
      </c>
      <c r="R1042" s="157"/>
      <c r="S1042" s="157"/>
      <c r="T1042" s="157"/>
    </row>
    <row r="1043" spans="1:21" hidden="1" outlineLevel="1">
      <c r="A1043" s="1598" t="s">
        <v>1038</v>
      </c>
      <c r="B1043" s="1316" t="s">
        <v>411</v>
      </c>
      <c r="C1043" s="1316" t="s">
        <v>440</v>
      </c>
      <c r="D1043" s="1317" t="s">
        <v>433</v>
      </c>
      <c r="E1043" s="1318">
        <v>1.5</v>
      </c>
      <c r="F1043" s="1319" t="s">
        <v>443</v>
      </c>
      <c r="G1043" s="1315">
        <v>3250</v>
      </c>
      <c r="H1043" s="238">
        <f t="shared" ref="H1043:H1049" si="491">SUM(I1043:K1043)</f>
        <v>3.7488E-2</v>
      </c>
      <c r="I1043" s="1333">
        <v>3.7488E-2</v>
      </c>
      <c r="J1043" s="1333"/>
      <c r="K1043" s="1333"/>
      <c r="L1043" s="1318">
        <v>1</v>
      </c>
      <c r="M1043" s="233">
        <f t="shared" si="490"/>
        <v>182.75399999999999</v>
      </c>
      <c r="N1043" s="233">
        <f t="shared" si="479"/>
        <v>182.75399999999999</v>
      </c>
      <c r="O1043" s="234">
        <f t="shared" si="480"/>
        <v>0</v>
      </c>
      <c r="P1043" s="234">
        <f t="shared" si="486"/>
        <v>0</v>
      </c>
      <c r="Q1043" s="1341">
        <v>0</v>
      </c>
      <c r="R1043" s="1605"/>
      <c r="S1043" s="157"/>
      <c r="T1043" s="157"/>
    </row>
    <row r="1044" spans="1:21" hidden="1" outlineLevel="1">
      <c r="A1044" s="1598" t="s">
        <v>1038</v>
      </c>
      <c r="B1044" s="1320" t="s">
        <v>411</v>
      </c>
      <c r="C1044" s="1320" t="s">
        <v>440</v>
      </c>
      <c r="D1044" s="1321" t="s">
        <v>433</v>
      </c>
      <c r="E1044" s="1322">
        <v>1.5</v>
      </c>
      <c r="F1044" s="1324" t="s">
        <v>444</v>
      </c>
      <c r="G1044" s="1323">
        <v>13816</v>
      </c>
      <c r="H1044" s="239">
        <f t="shared" si="491"/>
        <v>4.5300000000000002E-3</v>
      </c>
      <c r="I1044" s="1335">
        <v>4.5300000000000002E-3</v>
      </c>
      <c r="J1044" s="1335"/>
      <c r="K1044" s="1335"/>
      <c r="L1044" s="1322">
        <v>1</v>
      </c>
      <c r="M1044" s="227">
        <f t="shared" si="490"/>
        <v>93.879720000000006</v>
      </c>
      <c r="N1044" s="227">
        <f t="shared" si="479"/>
        <v>93.879720000000006</v>
      </c>
      <c r="O1044" s="228">
        <f t="shared" si="480"/>
        <v>0</v>
      </c>
      <c r="P1044" s="228">
        <f t="shared" si="486"/>
        <v>0</v>
      </c>
      <c r="Q1044" s="1342">
        <v>0</v>
      </c>
      <c r="R1044" s="1602"/>
      <c r="S1044" s="1602"/>
      <c r="T1044" s="1604"/>
    </row>
    <row r="1045" spans="1:21" hidden="1" outlineLevel="1">
      <c r="A1045" s="1598" t="s">
        <v>1038</v>
      </c>
      <c r="B1045" s="1316" t="s">
        <v>409</v>
      </c>
      <c r="C1045" s="1316" t="s">
        <v>594</v>
      </c>
      <c r="D1045" s="1317" t="s">
        <v>433</v>
      </c>
      <c r="E1045" s="1318">
        <v>1</v>
      </c>
      <c r="F1045" s="1319" t="s">
        <v>868</v>
      </c>
      <c r="G1045" s="1315">
        <v>1579</v>
      </c>
      <c r="H1045" s="238">
        <f t="shared" si="491"/>
        <v>1.5422E-2</v>
      </c>
      <c r="I1045" s="1333">
        <v>1.5422E-2</v>
      </c>
      <c r="J1045" s="1333"/>
      <c r="K1045" s="1333"/>
      <c r="L1045" s="1318">
        <v>0.5</v>
      </c>
      <c r="M1045" s="233">
        <f t="shared" si="490"/>
        <v>12.175668999999999</v>
      </c>
      <c r="N1045" s="233">
        <f t="shared" si="479"/>
        <v>12.175668999999999</v>
      </c>
      <c r="O1045" s="234">
        <f t="shared" si="480"/>
        <v>0</v>
      </c>
      <c r="P1045" s="234">
        <f t="shared" si="486"/>
        <v>0</v>
      </c>
      <c r="Q1045" s="1341">
        <v>0</v>
      </c>
      <c r="R1045" s="1602"/>
      <c r="S1045" s="157"/>
      <c r="T1045" s="157"/>
    </row>
    <row r="1046" spans="1:21" hidden="1" outlineLevel="1">
      <c r="A1046" s="1598" t="s">
        <v>1038</v>
      </c>
      <c r="B1046" s="1316" t="s">
        <v>409</v>
      </c>
      <c r="C1046" s="1316" t="s">
        <v>594</v>
      </c>
      <c r="D1046" s="1317" t="s">
        <v>433</v>
      </c>
      <c r="E1046" s="1318">
        <v>1</v>
      </c>
      <c r="F1046" s="1317" t="s">
        <v>441</v>
      </c>
      <c r="G1046" s="1315">
        <v>580.53</v>
      </c>
      <c r="H1046" s="238">
        <f t="shared" si="491"/>
        <v>2.2432000000000001E-2</v>
      </c>
      <c r="I1046" s="1333">
        <v>2.2432000000000001E-2</v>
      </c>
      <c r="J1046" s="1333"/>
      <c r="K1046" s="1333"/>
      <c r="L1046" s="1318">
        <v>0.5</v>
      </c>
      <c r="M1046" s="233">
        <f t="shared" si="490"/>
        <v>6.5112244800000001</v>
      </c>
      <c r="N1046" s="233">
        <f t="shared" si="479"/>
        <v>6.5112244800000001</v>
      </c>
      <c r="O1046" s="234">
        <f t="shared" si="480"/>
        <v>0</v>
      </c>
      <c r="P1046" s="234">
        <f t="shared" si="486"/>
        <v>0</v>
      </c>
      <c r="Q1046" s="1341">
        <v>0</v>
      </c>
      <c r="R1046" s="157"/>
      <c r="S1046" s="157"/>
      <c r="T1046" s="157"/>
    </row>
    <row r="1047" spans="1:21" hidden="1" outlineLevel="1">
      <c r="A1047" s="1598" t="s">
        <v>1038</v>
      </c>
      <c r="B1047" s="1316" t="s">
        <v>409</v>
      </c>
      <c r="C1047" s="1316" t="s">
        <v>594</v>
      </c>
      <c r="D1047" s="1317" t="s">
        <v>433</v>
      </c>
      <c r="E1047" s="1318">
        <v>1</v>
      </c>
      <c r="F1047" s="1319" t="s">
        <v>442</v>
      </c>
      <c r="G1047" s="1315">
        <v>4811</v>
      </c>
      <c r="H1047" s="238">
        <f t="shared" si="491"/>
        <v>0</v>
      </c>
      <c r="I1047" s="1333"/>
      <c r="J1047" s="1333"/>
      <c r="K1047" s="1333"/>
      <c r="L1047" s="1318">
        <v>0.5</v>
      </c>
      <c r="M1047" s="233">
        <f t="shared" si="490"/>
        <v>0</v>
      </c>
      <c r="N1047" s="233">
        <f t="shared" si="479"/>
        <v>0</v>
      </c>
      <c r="O1047" s="234">
        <f t="shared" si="480"/>
        <v>0</v>
      </c>
      <c r="P1047" s="234">
        <f t="shared" si="486"/>
        <v>0</v>
      </c>
      <c r="Q1047" s="1341">
        <v>0</v>
      </c>
      <c r="R1047" s="1604"/>
      <c r="S1047" s="1604"/>
      <c r="T1047" s="1602"/>
    </row>
    <row r="1048" spans="1:21" hidden="1" outlineLevel="1">
      <c r="A1048" s="1598" t="s">
        <v>1038</v>
      </c>
      <c r="B1048" s="1316" t="s">
        <v>409</v>
      </c>
      <c r="C1048" s="1316" t="s">
        <v>594</v>
      </c>
      <c r="D1048" s="1317" t="s">
        <v>433</v>
      </c>
      <c r="E1048" s="1318">
        <v>1</v>
      </c>
      <c r="F1048" s="1319" t="s">
        <v>443</v>
      </c>
      <c r="G1048" s="1315">
        <v>3250</v>
      </c>
      <c r="H1048" s="238">
        <f t="shared" si="491"/>
        <v>3.0143E-2</v>
      </c>
      <c r="I1048" s="1333">
        <v>3.0143E-2</v>
      </c>
      <c r="J1048" s="1333"/>
      <c r="K1048" s="1333"/>
      <c r="L1048" s="1318">
        <v>0.5</v>
      </c>
      <c r="M1048" s="235">
        <f t="shared" si="490"/>
        <v>48.982374999999998</v>
      </c>
      <c r="N1048" s="233">
        <f t="shared" si="479"/>
        <v>48.982374999999998</v>
      </c>
      <c r="O1048" s="234">
        <f t="shared" si="480"/>
        <v>0</v>
      </c>
      <c r="P1048" s="234">
        <f t="shared" si="486"/>
        <v>0</v>
      </c>
      <c r="Q1048" s="1341">
        <v>0</v>
      </c>
      <c r="R1048" s="1602"/>
      <c r="S1048" s="157"/>
      <c r="T1048" s="157"/>
    </row>
    <row r="1049" spans="1:21" ht="13.8" hidden="1" outlineLevel="1" thickBot="1">
      <c r="A1049" s="191" t="s">
        <v>1038</v>
      </c>
      <c r="B1049" s="1320" t="s">
        <v>409</v>
      </c>
      <c r="C1049" s="1320" t="s">
        <v>594</v>
      </c>
      <c r="D1049" s="1321" t="s">
        <v>433</v>
      </c>
      <c r="E1049" s="1322">
        <v>1</v>
      </c>
      <c r="F1049" s="1324" t="s">
        <v>444</v>
      </c>
      <c r="G1049" s="1323">
        <v>13816</v>
      </c>
      <c r="H1049" s="239">
        <f t="shared" si="491"/>
        <v>3.1540000000000001E-3</v>
      </c>
      <c r="I1049" s="1335">
        <v>3.1540000000000001E-3</v>
      </c>
      <c r="J1049" s="1335"/>
      <c r="K1049" s="1335"/>
      <c r="L1049" s="1322">
        <v>0.5</v>
      </c>
      <c r="M1049" s="267">
        <f t="shared" si="490"/>
        <v>21.787832000000002</v>
      </c>
      <c r="N1049" s="227">
        <f t="shared" si="479"/>
        <v>21.787832000000002</v>
      </c>
      <c r="O1049" s="228">
        <f t="shared" si="480"/>
        <v>0</v>
      </c>
      <c r="P1049" s="228">
        <f t="shared" si="486"/>
        <v>0</v>
      </c>
      <c r="Q1049" s="1342">
        <v>0</v>
      </c>
      <c r="R1049" s="1599">
        <f>SUM(M1010:M1049)</f>
        <v>4253.3856455750001</v>
      </c>
    </row>
    <row r="1050" spans="1:21" ht="13.8" collapsed="1" thickBot="1">
      <c r="A1050" s="192" t="s">
        <v>1311</v>
      </c>
      <c r="B1050" s="193"/>
      <c r="C1050" s="193"/>
      <c r="D1050" s="193"/>
      <c r="E1050" s="194"/>
      <c r="F1050" s="195"/>
      <c r="G1050" s="194"/>
      <c r="H1050" s="240">
        <f>SUM(H888:H1049)</f>
        <v>4.9467320000000017</v>
      </c>
      <c r="I1050" s="273"/>
      <c r="J1050" s="273"/>
      <c r="K1050" s="273"/>
      <c r="L1050" s="195"/>
      <c r="M1050" s="232">
        <f>SUM(M888:M1049)</f>
        <v>16490.675323905005</v>
      </c>
      <c r="N1050" s="1411">
        <f>SUM(N888:N1049)</f>
        <v>5432.4427613649987</v>
      </c>
      <c r="O1050" s="1412">
        <f>SUM(O888:O1049)</f>
        <v>11058.232562539997</v>
      </c>
      <c r="P1050" s="236">
        <f>SUM(P888:P1049)</f>
        <v>0</v>
      </c>
      <c r="Q1050" s="236">
        <f>SUM(Q888:Q1049)</f>
        <v>0</v>
      </c>
      <c r="S1050" s="1591">
        <f>SUM(M912:M917)+SUM(M954:M959)+SUM(M994:M999)+SUM(M1034:M1039)</f>
        <v>710.85025437000002</v>
      </c>
      <c r="T1050" s="1784" t="s">
        <v>1296</v>
      </c>
      <c r="U1050" s="1784"/>
    </row>
    <row r="1051" spans="1:21">
      <c r="A1051" s="197"/>
      <c r="B1051" s="198"/>
      <c r="C1051" s="198"/>
      <c r="D1051" s="198"/>
      <c r="E1051" s="199"/>
      <c r="F1051" s="200"/>
      <c r="G1051" s="199"/>
      <c r="H1051" s="199"/>
      <c r="I1051" s="199"/>
      <c r="J1051" s="199"/>
      <c r="K1051" s="199"/>
      <c r="L1051" s="200"/>
      <c r="M1051" s="201"/>
      <c r="N1051" s="202"/>
      <c r="O1051" s="203"/>
      <c r="P1051" s="204"/>
      <c r="Q1051" s="204"/>
    </row>
    <row r="1052" spans="1:21" ht="13.8" thickBot="1">
      <c r="A1052" s="15" t="s">
        <v>968</v>
      </c>
      <c r="B1052" s="206"/>
      <c r="C1052" s="206"/>
      <c r="D1052" s="206"/>
      <c r="E1052" s="207"/>
      <c r="F1052" s="208"/>
      <c r="G1052" s="207"/>
      <c r="H1052" s="207"/>
      <c r="I1052" s="209"/>
      <c r="J1052" s="208"/>
      <c r="K1052" s="208"/>
      <c r="L1052" s="208"/>
      <c r="M1052" s="210"/>
      <c r="N1052" s="210"/>
      <c r="O1052" s="210"/>
      <c r="P1052" s="208"/>
      <c r="Q1052" s="208"/>
    </row>
    <row r="1053" spans="1:21" ht="13.2" hidden="1" customHeight="1" outlineLevel="1">
      <c r="A1053" s="775" t="s">
        <v>1039</v>
      </c>
      <c r="B1053" s="1343" t="s">
        <v>408</v>
      </c>
      <c r="C1053" s="1330">
        <v>841</v>
      </c>
      <c r="D1053" s="1309" t="s">
        <v>427</v>
      </c>
      <c r="E1053" s="1344" t="s">
        <v>349</v>
      </c>
      <c r="F1053" s="1309" t="s">
        <v>429</v>
      </c>
      <c r="G1053" s="1345">
        <v>9.3490000000000004E-2</v>
      </c>
      <c r="H1053" s="776">
        <f>SUM(I1053:K1053)</f>
        <v>302</v>
      </c>
      <c r="I1053" s="1353">
        <v>302</v>
      </c>
      <c r="J1053" s="1353"/>
      <c r="K1053" s="1353"/>
      <c r="L1053" s="1344" t="s">
        <v>349</v>
      </c>
      <c r="M1053" s="772">
        <f>SUM(N1053:P1053)</f>
        <v>28.233980000000003</v>
      </c>
      <c r="N1053" s="773">
        <f>G1053*I1053</f>
        <v>28.233980000000003</v>
      </c>
      <c r="O1053" s="773">
        <f>G1053*J1053*5</f>
        <v>0</v>
      </c>
      <c r="P1053" s="773">
        <f>G1053*K1053*5</f>
        <v>0</v>
      </c>
      <c r="Q1053" s="777"/>
      <c r="R1053" s="774"/>
    </row>
    <row r="1054" spans="1:21" ht="13.2" hidden="1" customHeight="1" outlineLevel="1">
      <c r="A1054" s="211" t="s">
        <v>1039</v>
      </c>
      <c r="B1054" s="1346" t="s">
        <v>1259</v>
      </c>
      <c r="C1054" s="1332">
        <v>882</v>
      </c>
      <c r="D1054" s="1313" t="s">
        <v>427</v>
      </c>
      <c r="E1054" s="1347" t="s">
        <v>349</v>
      </c>
      <c r="F1054" s="1313" t="s">
        <v>429</v>
      </c>
      <c r="G1054" s="1349">
        <v>9.3490000000000004E-2</v>
      </c>
      <c r="H1054" s="222">
        <f t="shared" ref="H1054" si="492">SUM(I1054:K1054)</f>
        <v>0</v>
      </c>
      <c r="I1054" s="1354">
        <v>0</v>
      </c>
      <c r="J1054" s="1492"/>
      <c r="K1054" s="1492"/>
      <c r="L1054" s="1357" t="s">
        <v>349</v>
      </c>
      <c r="M1054" s="223">
        <f t="shared" ref="M1054" si="493">SUM(N1054:P1054)</f>
        <v>0</v>
      </c>
      <c r="N1054" s="224">
        <f t="shared" ref="N1054" si="494">G1054*I1054</f>
        <v>0</v>
      </c>
      <c r="O1054" s="224">
        <f t="shared" ref="O1054" si="495">G1054*J1054*5</f>
        <v>0</v>
      </c>
      <c r="P1054" s="224">
        <f t="shared" ref="P1054" si="496">G1054*K1054*5</f>
        <v>0</v>
      </c>
      <c r="Q1054" s="205"/>
    </row>
    <row r="1055" spans="1:21" ht="13.2" hidden="1" customHeight="1" outlineLevel="1">
      <c r="A1055" s="211" t="s">
        <v>1039</v>
      </c>
      <c r="B1055" s="1346" t="s">
        <v>409</v>
      </c>
      <c r="C1055" s="1332">
        <v>21717</v>
      </c>
      <c r="D1055" s="1313" t="s">
        <v>427</v>
      </c>
      <c r="E1055" s="1347" t="s">
        <v>349</v>
      </c>
      <c r="F1055" s="1313" t="s">
        <v>429</v>
      </c>
      <c r="G1055" s="1349">
        <v>9.3490000000000004E-2</v>
      </c>
      <c r="H1055" s="222">
        <f t="shared" ref="H1055:H1061" si="497">SUM(I1055:K1055)</f>
        <v>766</v>
      </c>
      <c r="I1055" s="1354">
        <v>766</v>
      </c>
      <c r="J1055" s="1354"/>
      <c r="K1055" s="1354"/>
      <c r="L1055" s="1347" t="s">
        <v>349</v>
      </c>
      <c r="M1055" s="223">
        <f t="shared" ref="M1055:M1056" si="498">SUM(N1055:P1055)</f>
        <v>71.613340000000008</v>
      </c>
      <c r="N1055" s="224">
        <f t="shared" ref="N1055:N1119" si="499">G1055*I1055</f>
        <v>71.613340000000008</v>
      </c>
      <c r="O1055" s="224">
        <f t="shared" ref="O1055:O1119" si="500">G1055*J1055*5</f>
        <v>0</v>
      </c>
      <c r="P1055" s="224">
        <f t="shared" ref="P1055:P1119" si="501">G1055*K1055*5</f>
        <v>0</v>
      </c>
      <c r="Q1055" s="208"/>
    </row>
    <row r="1056" spans="1:21" ht="13.2" hidden="1" customHeight="1" outlineLevel="1">
      <c r="A1056" s="211" t="s">
        <v>1039</v>
      </c>
      <c r="B1056" s="1346" t="s">
        <v>410</v>
      </c>
      <c r="C1056" s="1332">
        <v>749</v>
      </c>
      <c r="D1056" s="1313" t="s">
        <v>427</v>
      </c>
      <c r="E1056" s="1347" t="s">
        <v>349</v>
      </c>
      <c r="F1056" s="1313" t="s">
        <v>430</v>
      </c>
      <c r="G1056" s="1349">
        <v>9.9339999999999998E-2</v>
      </c>
      <c r="H1056" s="222">
        <f t="shared" si="497"/>
        <v>3588</v>
      </c>
      <c r="I1056" s="1354">
        <v>3588</v>
      </c>
      <c r="J1056" s="1354"/>
      <c r="K1056" s="1354"/>
      <c r="L1056" s="1347" t="s">
        <v>349</v>
      </c>
      <c r="M1056" s="223">
        <f t="shared" si="498"/>
        <v>356.43191999999999</v>
      </c>
      <c r="N1056" s="224">
        <f t="shared" si="499"/>
        <v>356.43191999999999</v>
      </c>
      <c r="O1056" s="224">
        <f t="shared" si="500"/>
        <v>0</v>
      </c>
      <c r="P1056" s="224">
        <f t="shared" si="501"/>
        <v>0</v>
      </c>
      <c r="Q1056" s="208"/>
    </row>
    <row r="1057" spans="1:17" ht="13.2" hidden="1" customHeight="1" outlineLevel="1">
      <c r="A1057" s="211" t="s">
        <v>1039</v>
      </c>
      <c r="B1057" s="1346" t="s">
        <v>411</v>
      </c>
      <c r="C1057" s="1332">
        <v>20044</v>
      </c>
      <c r="D1057" s="1313" t="s">
        <v>427</v>
      </c>
      <c r="E1057" s="1347" t="s">
        <v>349</v>
      </c>
      <c r="F1057" s="1313" t="s">
        <v>430</v>
      </c>
      <c r="G1057" s="1349">
        <v>9.9339999999999998E-2</v>
      </c>
      <c r="H1057" s="222">
        <f t="shared" si="497"/>
        <v>1336</v>
      </c>
      <c r="I1057" s="1354">
        <v>1336</v>
      </c>
      <c r="J1057" s="1354"/>
      <c r="K1057" s="1354"/>
      <c r="L1057" s="1347" t="s">
        <v>349</v>
      </c>
      <c r="M1057" s="223">
        <f t="shared" ref="M1057:M1061" si="502">SUM(N1057:P1057)</f>
        <v>132.71824000000001</v>
      </c>
      <c r="N1057" s="224">
        <f t="shared" si="499"/>
        <v>132.71824000000001</v>
      </c>
      <c r="O1057" s="224">
        <f t="shared" si="500"/>
        <v>0</v>
      </c>
      <c r="P1057" s="224">
        <f t="shared" si="501"/>
        <v>0</v>
      </c>
      <c r="Q1057" s="208"/>
    </row>
    <row r="1058" spans="1:17" ht="13.2" hidden="1" customHeight="1" outlineLevel="1">
      <c r="A1058" s="211" t="s">
        <v>1039</v>
      </c>
      <c r="B1058" s="1346" t="s">
        <v>412</v>
      </c>
      <c r="C1058" s="1332">
        <v>15141</v>
      </c>
      <c r="D1058" s="1313" t="s">
        <v>427</v>
      </c>
      <c r="E1058" s="1347" t="s">
        <v>349</v>
      </c>
      <c r="F1058" s="1313" t="s">
        <v>429</v>
      </c>
      <c r="G1058" s="1349">
        <v>9.3490000000000004E-2</v>
      </c>
      <c r="H1058" s="222">
        <f t="shared" si="497"/>
        <v>577</v>
      </c>
      <c r="I1058" s="1354">
        <v>577</v>
      </c>
      <c r="J1058" s="1354"/>
      <c r="K1058" s="1354"/>
      <c r="L1058" s="1347" t="s">
        <v>349</v>
      </c>
      <c r="M1058" s="223">
        <f t="shared" si="502"/>
        <v>53.943730000000002</v>
      </c>
      <c r="N1058" s="224">
        <f t="shared" si="499"/>
        <v>53.943730000000002</v>
      </c>
      <c r="O1058" s="224">
        <f t="shared" si="500"/>
        <v>0</v>
      </c>
      <c r="P1058" s="224">
        <f t="shared" si="501"/>
        <v>0</v>
      </c>
      <c r="Q1058" s="208"/>
    </row>
    <row r="1059" spans="1:17" ht="13.2" hidden="1" customHeight="1" outlineLevel="1">
      <c r="A1059" s="211" t="s">
        <v>1039</v>
      </c>
      <c r="B1059" s="1346" t="s">
        <v>413</v>
      </c>
      <c r="C1059" s="1332">
        <v>16904</v>
      </c>
      <c r="D1059" s="1313" t="s">
        <v>427</v>
      </c>
      <c r="E1059" s="1347" t="s">
        <v>349</v>
      </c>
      <c r="F1059" s="1313" t="s">
        <v>430</v>
      </c>
      <c r="G1059" s="1349">
        <v>9.9339999999999998E-2</v>
      </c>
      <c r="H1059" s="222">
        <f t="shared" si="497"/>
        <v>1939</v>
      </c>
      <c r="I1059" s="1354">
        <v>1939</v>
      </c>
      <c r="J1059" s="1354"/>
      <c r="K1059" s="1354"/>
      <c r="L1059" s="1347" t="s">
        <v>349</v>
      </c>
      <c r="M1059" s="223">
        <f t="shared" si="502"/>
        <v>192.62026</v>
      </c>
      <c r="N1059" s="224">
        <f t="shared" si="499"/>
        <v>192.62026</v>
      </c>
      <c r="O1059" s="224">
        <f t="shared" si="500"/>
        <v>0</v>
      </c>
      <c r="P1059" s="224">
        <f t="shared" si="501"/>
        <v>0</v>
      </c>
      <c r="Q1059" s="208"/>
    </row>
    <row r="1060" spans="1:17" ht="13.2" hidden="1" customHeight="1" outlineLevel="1">
      <c r="A1060" s="211" t="s">
        <v>1039</v>
      </c>
      <c r="B1060" s="1346" t="s">
        <v>595</v>
      </c>
      <c r="C1060" s="1332">
        <v>891</v>
      </c>
      <c r="D1060" s="1313" t="s">
        <v>427</v>
      </c>
      <c r="E1060" s="1347" t="s">
        <v>349</v>
      </c>
      <c r="F1060" s="1313" t="s">
        <v>429</v>
      </c>
      <c r="G1060" s="1349">
        <v>9.3490000000000004E-2</v>
      </c>
      <c r="H1060" s="222">
        <f t="shared" si="497"/>
        <v>1462</v>
      </c>
      <c r="I1060" s="1354">
        <v>1462</v>
      </c>
      <c r="J1060" s="1354"/>
      <c r="K1060" s="1354"/>
      <c r="L1060" s="1347" t="s">
        <v>349</v>
      </c>
      <c r="M1060" s="223">
        <f t="shared" si="502"/>
        <v>136.68237999999999</v>
      </c>
      <c r="N1060" s="224">
        <f t="shared" si="499"/>
        <v>136.68237999999999</v>
      </c>
      <c r="O1060" s="224">
        <f t="shared" si="500"/>
        <v>0</v>
      </c>
      <c r="P1060" s="224">
        <f t="shared" si="501"/>
        <v>0</v>
      </c>
      <c r="Q1060" s="208"/>
    </row>
    <row r="1061" spans="1:17" ht="13.2" hidden="1" customHeight="1" outlineLevel="1">
      <c r="A1061" s="211" t="s">
        <v>1039</v>
      </c>
      <c r="B1061" s="1346" t="s">
        <v>606</v>
      </c>
      <c r="C1061" s="1332">
        <v>892</v>
      </c>
      <c r="D1061" s="1313" t="s">
        <v>427</v>
      </c>
      <c r="E1061" s="1347" t="s">
        <v>349</v>
      </c>
      <c r="F1061" s="1313" t="s">
        <v>429</v>
      </c>
      <c r="G1061" s="1349">
        <v>9.3490000000000004E-2</v>
      </c>
      <c r="H1061" s="222">
        <f t="shared" si="497"/>
        <v>6498</v>
      </c>
      <c r="I1061" s="1354">
        <v>6498</v>
      </c>
      <c r="J1061" s="1354"/>
      <c r="K1061" s="1354"/>
      <c r="L1061" s="1347" t="s">
        <v>349</v>
      </c>
      <c r="M1061" s="223">
        <f t="shared" si="502"/>
        <v>607.49802</v>
      </c>
      <c r="N1061" s="224">
        <f t="shared" si="499"/>
        <v>607.49802</v>
      </c>
      <c r="O1061" s="224">
        <f t="shared" si="500"/>
        <v>0</v>
      </c>
      <c r="P1061" s="224">
        <f t="shared" si="501"/>
        <v>0</v>
      </c>
      <c r="Q1061" s="208"/>
    </row>
    <row r="1062" spans="1:17" ht="13.2" hidden="1" customHeight="1" outlineLevel="1">
      <c r="A1062" s="211" t="s">
        <v>1039</v>
      </c>
      <c r="B1062" s="1346" t="s">
        <v>1302</v>
      </c>
      <c r="C1062" s="1332">
        <v>708</v>
      </c>
      <c r="D1062" s="1313" t="s">
        <v>427</v>
      </c>
      <c r="E1062" s="1347" t="s">
        <v>349</v>
      </c>
      <c r="F1062" s="1313" t="s">
        <v>430</v>
      </c>
      <c r="G1062" s="1349">
        <v>9.9339999999999998E-2</v>
      </c>
      <c r="H1062" s="222">
        <f t="shared" ref="H1062" si="503">SUM(I1062:K1062)</f>
        <v>0</v>
      </c>
      <c r="I1062" s="1354">
        <v>0</v>
      </c>
      <c r="J1062" s="1354"/>
      <c r="K1062" s="1354"/>
      <c r="L1062" s="1347" t="s">
        <v>349</v>
      </c>
      <c r="M1062" s="223">
        <f t="shared" ref="M1062" si="504">SUM(N1062:P1062)</f>
        <v>0</v>
      </c>
      <c r="N1062" s="224">
        <f t="shared" si="499"/>
        <v>0</v>
      </c>
      <c r="O1062" s="224">
        <f t="shared" si="500"/>
        <v>0</v>
      </c>
      <c r="P1062" s="224">
        <f t="shared" si="501"/>
        <v>0</v>
      </c>
      <c r="Q1062" s="208"/>
    </row>
    <row r="1063" spans="1:17" ht="13.2" hidden="1" customHeight="1" outlineLevel="1">
      <c r="A1063" s="211" t="s">
        <v>1039</v>
      </c>
      <c r="B1063" s="1346" t="s">
        <v>414</v>
      </c>
      <c r="C1063" s="1332">
        <v>16757</v>
      </c>
      <c r="D1063" s="1313" t="s">
        <v>427</v>
      </c>
      <c r="E1063" s="1347" t="s">
        <v>349</v>
      </c>
      <c r="F1063" s="1313" t="s">
        <v>429</v>
      </c>
      <c r="G1063" s="1349">
        <v>9.3490000000000004E-2</v>
      </c>
      <c r="H1063" s="222">
        <f t="shared" ref="H1063:H1089" si="505">SUM(I1063:K1063)</f>
        <v>915</v>
      </c>
      <c r="I1063" s="1354">
        <v>915</v>
      </c>
      <c r="J1063" s="1354"/>
      <c r="K1063" s="1354"/>
      <c r="L1063" s="1347" t="s">
        <v>349</v>
      </c>
      <c r="M1063" s="223">
        <f t="shared" ref="M1063:M1081" si="506">SUM(N1063:P1063)</f>
        <v>85.543350000000004</v>
      </c>
      <c r="N1063" s="224">
        <f t="shared" si="499"/>
        <v>85.543350000000004</v>
      </c>
      <c r="O1063" s="224">
        <f t="shared" si="500"/>
        <v>0</v>
      </c>
      <c r="P1063" s="224">
        <f t="shared" si="501"/>
        <v>0</v>
      </c>
      <c r="Q1063" s="208"/>
    </row>
    <row r="1064" spans="1:17" ht="13.2" hidden="1" customHeight="1" outlineLevel="1">
      <c r="A1064" s="211" t="s">
        <v>1039</v>
      </c>
      <c r="B1064" s="1346" t="s">
        <v>596</v>
      </c>
      <c r="C1064" s="1332">
        <v>878</v>
      </c>
      <c r="D1064" s="1313" t="s">
        <v>427</v>
      </c>
      <c r="E1064" s="1347" t="s">
        <v>349</v>
      </c>
      <c r="F1064" s="1313" t="s">
        <v>429</v>
      </c>
      <c r="G1064" s="1349">
        <v>9.3490000000000004E-2</v>
      </c>
      <c r="H1064" s="222">
        <f t="shared" si="505"/>
        <v>9742</v>
      </c>
      <c r="I1064" s="1354">
        <v>9742</v>
      </c>
      <c r="J1064" s="1354"/>
      <c r="K1064" s="1354"/>
      <c r="L1064" s="1347" t="s">
        <v>349</v>
      </c>
      <c r="M1064" s="223">
        <f t="shared" si="506"/>
        <v>910.77958000000001</v>
      </c>
      <c r="N1064" s="224">
        <f t="shared" si="499"/>
        <v>910.77958000000001</v>
      </c>
      <c r="O1064" s="224">
        <f t="shared" si="500"/>
        <v>0</v>
      </c>
      <c r="P1064" s="224">
        <f t="shared" si="501"/>
        <v>0</v>
      </c>
      <c r="Q1064" s="208"/>
    </row>
    <row r="1065" spans="1:17" ht="13.2" hidden="1" customHeight="1" outlineLevel="1">
      <c r="A1065" s="211" t="s">
        <v>1039</v>
      </c>
      <c r="B1065" s="1346" t="s">
        <v>597</v>
      </c>
      <c r="C1065" s="1332">
        <v>879</v>
      </c>
      <c r="D1065" s="1313" t="s">
        <v>427</v>
      </c>
      <c r="E1065" s="1347" t="s">
        <v>349</v>
      </c>
      <c r="F1065" s="1313" t="s">
        <v>429</v>
      </c>
      <c r="G1065" s="1349">
        <v>9.3490000000000004E-2</v>
      </c>
      <c r="H1065" s="222">
        <f t="shared" si="505"/>
        <v>5337</v>
      </c>
      <c r="I1065" s="1354">
        <v>5337</v>
      </c>
      <c r="J1065" s="1354"/>
      <c r="K1065" s="1354"/>
      <c r="L1065" s="1347" t="s">
        <v>349</v>
      </c>
      <c r="M1065" s="223">
        <f t="shared" si="506"/>
        <v>498.95613000000003</v>
      </c>
      <c r="N1065" s="224">
        <f t="shared" si="499"/>
        <v>498.95613000000003</v>
      </c>
      <c r="O1065" s="224">
        <f t="shared" si="500"/>
        <v>0</v>
      </c>
      <c r="P1065" s="224">
        <f t="shared" si="501"/>
        <v>0</v>
      </c>
      <c r="Q1065" s="208"/>
    </row>
    <row r="1066" spans="1:17" ht="13.2" hidden="1" customHeight="1" outlineLevel="1">
      <c r="A1066" s="211" t="s">
        <v>1039</v>
      </c>
      <c r="B1066" s="1346" t="s">
        <v>598</v>
      </c>
      <c r="C1066" s="1332">
        <v>880</v>
      </c>
      <c r="D1066" s="1313" t="s">
        <v>427</v>
      </c>
      <c r="E1066" s="1347" t="s">
        <v>349</v>
      </c>
      <c r="F1066" s="1313" t="s">
        <v>429</v>
      </c>
      <c r="G1066" s="1349">
        <v>9.3490000000000004E-2</v>
      </c>
      <c r="H1066" s="222">
        <f t="shared" si="505"/>
        <v>2011</v>
      </c>
      <c r="I1066" s="1354">
        <v>2011</v>
      </c>
      <c r="J1066" s="1354"/>
      <c r="K1066" s="1354"/>
      <c r="L1066" s="1347" t="s">
        <v>349</v>
      </c>
      <c r="M1066" s="223">
        <f t="shared" si="506"/>
        <v>188.00839000000002</v>
      </c>
      <c r="N1066" s="224">
        <f t="shared" si="499"/>
        <v>188.00839000000002</v>
      </c>
      <c r="O1066" s="224">
        <f t="shared" si="500"/>
        <v>0</v>
      </c>
      <c r="P1066" s="224">
        <f t="shared" si="501"/>
        <v>0</v>
      </c>
      <c r="Q1066" s="208"/>
    </row>
    <row r="1067" spans="1:17" ht="13.2" hidden="1" customHeight="1" outlineLevel="1">
      <c r="A1067" s="211" t="s">
        <v>1039</v>
      </c>
      <c r="B1067" s="1346" t="s">
        <v>599</v>
      </c>
      <c r="C1067" s="1332">
        <v>4650</v>
      </c>
      <c r="D1067" s="1313" t="s">
        <v>427</v>
      </c>
      <c r="E1067" s="1347" t="s">
        <v>349</v>
      </c>
      <c r="F1067" s="1313" t="s">
        <v>429</v>
      </c>
      <c r="G1067" s="1349">
        <v>9.3490000000000004E-2</v>
      </c>
      <c r="H1067" s="222">
        <f t="shared" si="505"/>
        <v>8995</v>
      </c>
      <c r="I1067" s="1354">
        <v>8995</v>
      </c>
      <c r="J1067" s="1354"/>
      <c r="K1067" s="1354"/>
      <c r="L1067" s="1347" t="s">
        <v>349</v>
      </c>
      <c r="M1067" s="223">
        <f t="shared" si="506"/>
        <v>840.94254999999998</v>
      </c>
      <c r="N1067" s="224">
        <f t="shared" si="499"/>
        <v>840.94254999999998</v>
      </c>
      <c r="O1067" s="224">
        <f t="shared" si="500"/>
        <v>0</v>
      </c>
      <c r="P1067" s="224">
        <f t="shared" si="501"/>
        <v>0</v>
      </c>
      <c r="Q1067" s="208"/>
    </row>
    <row r="1068" spans="1:17" ht="13.2" hidden="1" customHeight="1" outlineLevel="1">
      <c r="A1068" s="211" t="s">
        <v>1039</v>
      </c>
      <c r="B1068" s="1346" t="s">
        <v>1303</v>
      </c>
      <c r="C1068" s="1332">
        <v>14114</v>
      </c>
      <c r="D1068" s="1313" t="s">
        <v>427</v>
      </c>
      <c r="E1068" s="1347" t="s">
        <v>349</v>
      </c>
      <c r="F1068" s="1313" t="s">
        <v>430</v>
      </c>
      <c r="G1068" s="1349">
        <v>9.9339999999999998E-2</v>
      </c>
      <c r="H1068" s="222">
        <f t="shared" si="505"/>
        <v>4554</v>
      </c>
      <c r="I1068" s="1354">
        <v>4554</v>
      </c>
      <c r="J1068" s="1354"/>
      <c r="K1068" s="1354"/>
      <c r="L1068" s="1347" t="s">
        <v>349</v>
      </c>
      <c r="M1068" s="223">
        <f t="shared" si="506"/>
        <v>452.39436000000001</v>
      </c>
      <c r="N1068" s="224">
        <f t="shared" si="499"/>
        <v>452.39436000000001</v>
      </c>
      <c r="O1068" s="224">
        <f t="shared" si="500"/>
        <v>0</v>
      </c>
      <c r="P1068" s="224">
        <f t="shared" si="501"/>
        <v>0</v>
      </c>
      <c r="Q1068" s="208"/>
    </row>
    <row r="1069" spans="1:17" ht="13.2" hidden="1" customHeight="1" outlineLevel="1">
      <c r="A1069" s="211" t="s">
        <v>1039</v>
      </c>
      <c r="B1069" s="1346" t="s">
        <v>1303</v>
      </c>
      <c r="C1069" s="1332">
        <v>14114</v>
      </c>
      <c r="D1069" s="1313" t="s">
        <v>427</v>
      </c>
      <c r="E1069" s="1347" t="s">
        <v>349</v>
      </c>
      <c r="F1069" s="1313" t="s">
        <v>430</v>
      </c>
      <c r="G1069" s="1349">
        <v>0.18418000000000001</v>
      </c>
      <c r="H1069" s="222">
        <f t="shared" si="505"/>
        <v>4554</v>
      </c>
      <c r="I1069" s="1354">
        <v>4554</v>
      </c>
      <c r="J1069" s="1354"/>
      <c r="K1069" s="1354"/>
      <c r="L1069" s="1347" t="s">
        <v>349</v>
      </c>
      <c r="M1069" s="223">
        <f t="shared" si="506"/>
        <v>838.75572</v>
      </c>
      <c r="N1069" s="224">
        <f t="shared" si="499"/>
        <v>838.75572</v>
      </c>
      <c r="O1069" s="224">
        <f t="shared" si="500"/>
        <v>0</v>
      </c>
      <c r="P1069" s="224">
        <f t="shared" si="501"/>
        <v>0</v>
      </c>
      <c r="Q1069" s="208"/>
    </row>
    <row r="1070" spans="1:17" ht="13.2" hidden="1" customHeight="1" outlineLevel="1">
      <c r="A1070" s="211" t="s">
        <v>1039</v>
      </c>
      <c r="B1070" s="1346" t="s">
        <v>600</v>
      </c>
      <c r="C1070" s="1332">
        <v>969</v>
      </c>
      <c r="D1070" s="1313" t="s">
        <v>427</v>
      </c>
      <c r="E1070" s="1347" t="s">
        <v>349</v>
      </c>
      <c r="F1070" s="1313" t="s">
        <v>429</v>
      </c>
      <c r="G1070" s="1349">
        <v>9.3490000000000004E-2</v>
      </c>
      <c r="H1070" s="222">
        <f t="shared" si="505"/>
        <v>8497</v>
      </c>
      <c r="I1070" s="1354">
        <v>8497</v>
      </c>
      <c r="J1070" s="1354"/>
      <c r="K1070" s="1354"/>
      <c r="L1070" s="1347" t="s">
        <v>349</v>
      </c>
      <c r="M1070" s="223">
        <f t="shared" si="506"/>
        <v>794.38453000000004</v>
      </c>
      <c r="N1070" s="224">
        <f t="shared" si="499"/>
        <v>794.38453000000004</v>
      </c>
      <c r="O1070" s="224">
        <f t="shared" si="500"/>
        <v>0</v>
      </c>
      <c r="P1070" s="224">
        <f t="shared" si="501"/>
        <v>0</v>
      </c>
      <c r="Q1070" s="208"/>
    </row>
    <row r="1071" spans="1:17" ht="13.2" hidden="1" customHeight="1" outlineLevel="1">
      <c r="A1071" s="211" t="s">
        <v>1039</v>
      </c>
      <c r="B1071" s="1346" t="s">
        <v>601</v>
      </c>
      <c r="C1071" s="1332">
        <v>1003</v>
      </c>
      <c r="D1071" s="1313" t="s">
        <v>427</v>
      </c>
      <c r="E1071" s="1347" t="s">
        <v>349</v>
      </c>
      <c r="F1071" s="1313" t="s">
        <v>430</v>
      </c>
      <c r="G1071" s="1349">
        <v>9.9339999999999998E-2</v>
      </c>
      <c r="H1071" s="222">
        <f t="shared" si="505"/>
        <v>5073</v>
      </c>
      <c r="I1071" s="1354">
        <v>5073</v>
      </c>
      <c r="J1071" s="1354"/>
      <c r="K1071" s="1354"/>
      <c r="L1071" s="1347" t="s">
        <v>349</v>
      </c>
      <c r="M1071" s="223">
        <f t="shared" si="506"/>
        <v>503.95182</v>
      </c>
      <c r="N1071" s="224">
        <f t="shared" si="499"/>
        <v>503.95182</v>
      </c>
      <c r="O1071" s="224">
        <f t="shared" si="500"/>
        <v>0</v>
      </c>
      <c r="P1071" s="224">
        <f t="shared" si="501"/>
        <v>0</v>
      </c>
      <c r="Q1071" s="208"/>
    </row>
    <row r="1072" spans="1:17" ht="13.2" hidden="1" customHeight="1" outlineLevel="1">
      <c r="A1072" s="211" t="s">
        <v>1039</v>
      </c>
      <c r="B1072" s="1346" t="s">
        <v>416</v>
      </c>
      <c r="C1072" s="1332">
        <v>881</v>
      </c>
      <c r="D1072" s="1313" t="s">
        <v>427</v>
      </c>
      <c r="E1072" s="1347" t="s">
        <v>349</v>
      </c>
      <c r="F1072" s="1313" t="s">
        <v>429</v>
      </c>
      <c r="G1072" s="1349">
        <v>9.3490000000000004E-2</v>
      </c>
      <c r="H1072" s="222">
        <f t="shared" si="505"/>
        <v>505</v>
      </c>
      <c r="I1072" s="1354">
        <v>505</v>
      </c>
      <c r="J1072" s="1354"/>
      <c r="K1072" s="1354"/>
      <c r="L1072" s="1347" t="s">
        <v>349</v>
      </c>
      <c r="M1072" s="223">
        <f t="shared" si="506"/>
        <v>47.212450000000004</v>
      </c>
      <c r="N1072" s="224">
        <f t="shared" si="499"/>
        <v>47.212450000000004</v>
      </c>
      <c r="O1072" s="224">
        <f t="shared" si="500"/>
        <v>0</v>
      </c>
      <c r="P1072" s="224">
        <f t="shared" si="501"/>
        <v>0</v>
      </c>
      <c r="Q1072" s="208"/>
    </row>
    <row r="1073" spans="1:19" ht="13.2" hidden="1" customHeight="1" outlineLevel="1">
      <c r="A1073" s="211" t="s">
        <v>1039</v>
      </c>
      <c r="B1073" s="1346" t="s">
        <v>417</v>
      </c>
      <c r="C1073" s="1332">
        <v>832</v>
      </c>
      <c r="D1073" s="1313" t="s">
        <v>427</v>
      </c>
      <c r="E1073" s="1347" t="s">
        <v>349</v>
      </c>
      <c r="F1073" s="1313" t="s">
        <v>429</v>
      </c>
      <c r="G1073" s="1349">
        <v>9.3490000000000004E-2</v>
      </c>
      <c r="H1073" s="222">
        <f t="shared" si="505"/>
        <v>222</v>
      </c>
      <c r="I1073" s="1354">
        <v>222</v>
      </c>
      <c r="J1073" s="1354"/>
      <c r="K1073" s="1354"/>
      <c r="L1073" s="1347" t="s">
        <v>349</v>
      </c>
      <c r="M1073" s="223">
        <f t="shared" si="506"/>
        <v>20.75478</v>
      </c>
      <c r="N1073" s="224">
        <f t="shared" si="499"/>
        <v>20.75478</v>
      </c>
      <c r="O1073" s="224">
        <f t="shared" si="500"/>
        <v>0</v>
      </c>
      <c r="P1073" s="224">
        <f t="shared" si="501"/>
        <v>0</v>
      </c>
      <c r="Q1073" s="208"/>
    </row>
    <row r="1074" spans="1:19" ht="13.2" hidden="1" customHeight="1" outlineLevel="1">
      <c r="A1074" s="211" t="s">
        <v>1039</v>
      </c>
      <c r="B1074" s="1346" t="s">
        <v>418</v>
      </c>
      <c r="C1074" s="1332">
        <v>1138</v>
      </c>
      <c r="D1074" s="1313" t="s">
        <v>427</v>
      </c>
      <c r="E1074" s="1347" t="s">
        <v>349</v>
      </c>
      <c r="F1074" s="1313" t="s">
        <v>430</v>
      </c>
      <c r="G1074" s="1349">
        <v>9.9339999999999998E-2</v>
      </c>
      <c r="H1074" s="222">
        <f t="shared" si="505"/>
        <v>5536</v>
      </c>
      <c r="I1074" s="1354">
        <v>5536</v>
      </c>
      <c r="J1074" s="1354"/>
      <c r="K1074" s="1354"/>
      <c r="L1074" s="1347" t="s">
        <v>349</v>
      </c>
      <c r="M1074" s="223">
        <f t="shared" si="506"/>
        <v>549.94623999999999</v>
      </c>
      <c r="N1074" s="224">
        <f t="shared" si="499"/>
        <v>549.94623999999999</v>
      </c>
      <c r="O1074" s="224">
        <f t="shared" si="500"/>
        <v>0</v>
      </c>
      <c r="P1074" s="224">
        <f t="shared" si="501"/>
        <v>0</v>
      </c>
      <c r="Q1074" s="208"/>
    </row>
    <row r="1075" spans="1:19" ht="13.2" hidden="1" customHeight="1" outlineLevel="1">
      <c r="A1075" s="211" t="s">
        <v>1039</v>
      </c>
      <c r="B1075" s="1346" t="s">
        <v>419</v>
      </c>
      <c r="C1075" s="1332">
        <v>1010</v>
      </c>
      <c r="D1075" s="1313" t="s">
        <v>427</v>
      </c>
      <c r="E1075" s="1347" t="s">
        <v>349</v>
      </c>
      <c r="F1075" s="1313" t="s">
        <v>430</v>
      </c>
      <c r="G1075" s="1349">
        <v>9.9339999999999998E-2</v>
      </c>
      <c r="H1075" s="222">
        <f t="shared" si="505"/>
        <v>42</v>
      </c>
      <c r="I1075" s="1354">
        <v>42</v>
      </c>
      <c r="J1075" s="1354"/>
      <c r="K1075" s="1354"/>
      <c r="L1075" s="1347" t="s">
        <v>349</v>
      </c>
      <c r="M1075" s="223">
        <f t="shared" si="506"/>
        <v>4.1722799999999998</v>
      </c>
      <c r="N1075" s="224">
        <f t="shared" si="499"/>
        <v>4.1722799999999998</v>
      </c>
      <c r="O1075" s="224">
        <f t="shared" si="500"/>
        <v>0</v>
      </c>
      <c r="P1075" s="224">
        <f t="shared" si="501"/>
        <v>0</v>
      </c>
      <c r="Q1075" s="208"/>
    </row>
    <row r="1076" spans="1:19" ht="13.2" hidden="1" customHeight="1" outlineLevel="1">
      <c r="A1076" s="211" t="s">
        <v>1039</v>
      </c>
      <c r="B1076" s="1346" t="s">
        <v>420</v>
      </c>
      <c r="C1076" s="1332">
        <v>16476</v>
      </c>
      <c r="D1076" s="1313" t="s">
        <v>427</v>
      </c>
      <c r="E1076" s="1347" t="s">
        <v>349</v>
      </c>
      <c r="F1076" s="1313" t="s">
        <v>430</v>
      </c>
      <c r="G1076" s="1349">
        <v>9.9339999999999998E-2</v>
      </c>
      <c r="H1076" s="222">
        <f t="shared" si="505"/>
        <v>429</v>
      </c>
      <c r="I1076" s="1354">
        <v>429</v>
      </c>
      <c r="J1076" s="1354"/>
      <c r="K1076" s="1354"/>
      <c r="L1076" s="1347" t="s">
        <v>349</v>
      </c>
      <c r="M1076" s="223">
        <f t="shared" si="506"/>
        <v>42.616859999999996</v>
      </c>
      <c r="N1076" s="224">
        <f t="shared" si="499"/>
        <v>42.616859999999996</v>
      </c>
      <c r="O1076" s="224">
        <f t="shared" si="500"/>
        <v>0</v>
      </c>
      <c r="P1076" s="224">
        <f t="shared" si="501"/>
        <v>0</v>
      </c>
      <c r="Q1076" s="208"/>
    </row>
    <row r="1077" spans="1:19" ht="13.2" hidden="1" customHeight="1" outlineLevel="1">
      <c r="A1077" s="211" t="s">
        <v>1039</v>
      </c>
      <c r="B1077" s="1346" t="s">
        <v>602</v>
      </c>
      <c r="C1077" s="1332">
        <v>965</v>
      </c>
      <c r="D1077" s="1313" t="s">
        <v>427</v>
      </c>
      <c r="E1077" s="1347" t="s">
        <v>349</v>
      </c>
      <c r="F1077" s="1313" t="s">
        <v>429</v>
      </c>
      <c r="G1077" s="1349">
        <v>9.3490000000000004E-2</v>
      </c>
      <c r="H1077" s="222">
        <f t="shared" si="505"/>
        <v>1385</v>
      </c>
      <c r="I1077" s="1354">
        <v>1385</v>
      </c>
      <c r="J1077" s="1354"/>
      <c r="K1077" s="1354"/>
      <c r="L1077" s="1347" t="s">
        <v>349</v>
      </c>
      <c r="M1077" s="223">
        <f t="shared" si="506"/>
        <v>129.48365000000001</v>
      </c>
      <c r="N1077" s="224">
        <f t="shared" si="499"/>
        <v>129.48365000000001</v>
      </c>
      <c r="O1077" s="224">
        <f t="shared" si="500"/>
        <v>0</v>
      </c>
      <c r="P1077" s="224">
        <f t="shared" si="501"/>
        <v>0</v>
      </c>
      <c r="Q1077" s="208"/>
    </row>
    <row r="1078" spans="1:19" ht="13.2" hidden="1" customHeight="1" outlineLevel="1">
      <c r="A1078" s="211" t="s">
        <v>1039</v>
      </c>
      <c r="B1078" s="1346" t="s">
        <v>603</v>
      </c>
      <c r="C1078" s="1332">
        <v>968</v>
      </c>
      <c r="D1078" s="1313" t="s">
        <v>427</v>
      </c>
      <c r="E1078" s="1347" t="s">
        <v>349</v>
      </c>
      <c r="F1078" s="1313" t="s">
        <v>429</v>
      </c>
      <c r="G1078" s="1349">
        <v>9.3490000000000004E-2</v>
      </c>
      <c r="H1078" s="222">
        <f t="shared" si="505"/>
        <v>1299</v>
      </c>
      <c r="I1078" s="1354">
        <v>1299</v>
      </c>
      <c r="J1078" s="1354"/>
      <c r="K1078" s="1354"/>
      <c r="L1078" s="1347" t="s">
        <v>349</v>
      </c>
      <c r="M1078" s="223">
        <f t="shared" si="506"/>
        <v>121.44351</v>
      </c>
      <c r="N1078" s="224">
        <f t="shared" si="499"/>
        <v>121.44351</v>
      </c>
      <c r="O1078" s="224">
        <f t="shared" si="500"/>
        <v>0</v>
      </c>
      <c r="P1078" s="224">
        <f t="shared" si="501"/>
        <v>0</v>
      </c>
      <c r="Q1078" s="208"/>
    </row>
    <row r="1079" spans="1:19" ht="13.2" hidden="1" customHeight="1" outlineLevel="1">
      <c r="A1079" s="211" t="s">
        <v>1039</v>
      </c>
      <c r="B1079" s="1346" t="s">
        <v>421</v>
      </c>
      <c r="C1079" s="1332">
        <v>964</v>
      </c>
      <c r="D1079" s="1313" t="s">
        <v>427</v>
      </c>
      <c r="E1079" s="1347" t="s">
        <v>349</v>
      </c>
      <c r="F1079" s="1313" t="s">
        <v>429</v>
      </c>
      <c r="G1079" s="1349">
        <v>9.3490000000000004E-2</v>
      </c>
      <c r="H1079" s="222">
        <f t="shared" si="505"/>
        <v>193</v>
      </c>
      <c r="I1079" s="1354">
        <v>193</v>
      </c>
      <c r="J1079" s="1354"/>
      <c r="K1079" s="1354"/>
      <c r="L1079" s="1347" t="s">
        <v>349</v>
      </c>
      <c r="M1079" s="223">
        <f t="shared" si="506"/>
        <v>18.043569999999999</v>
      </c>
      <c r="N1079" s="224">
        <f t="shared" si="499"/>
        <v>18.043569999999999</v>
      </c>
      <c r="O1079" s="224">
        <f t="shared" si="500"/>
        <v>0</v>
      </c>
      <c r="P1079" s="224">
        <f t="shared" si="501"/>
        <v>0</v>
      </c>
      <c r="Q1079" s="208"/>
    </row>
    <row r="1080" spans="1:19" ht="13.2" hidden="1" customHeight="1" outlineLevel="1">
      <c r="A1080" s="211" t="s">
        <v>1039</v>
      </c>
      <c r="B1080" s="1346" t="s">
        <v>422</v>
      </c>
      <c r="C1080" s="1332">
        <v>16477</v>
      </c>
      <c r="D1080" s="1313" t="s">
        <v>427</v>
      </c>
      <c r="E1080" s="1347" t="s">
        <v>349</v>
      </c>
      <c r="F1080" s="1313" t="s">
        <v>430</v>
      </c>
      <c r="G1080" s="1349">
        <v>9.9339999999999998E-2</v>
      </c>
      <c r="H1080" s="222">
        <f t="shared" si="505"/>
        <v>71</v>
      </c>
      <c r="I1080" s="1354">
        <v>71</v>
      </c>
      <c r="J1080" s="1354"/>
      <c r="K1080" s="1354"/>
      <c r="L1080" s="1347" t="s">
        <v>349</v>
      </c>
      <c r="M1080" s="223">
        <f t="shared" si="506"/>
        <v>7.05314</v>
      </c>
      <c r="N1080" s="224">
        <f t="shared" si="499"/>
        <v>7.05314</v>
      </c>
      <c r="O1080" s="224">
        <f t="shared" si="500"/>
        <v>0</v>
      </c>
      <c r="P1080" s="224">
        <f t="shared" si="501"/>
        <v>0</v>
      </c>
      <c r="Q1080" s="208"/>
    </row>
    <row r="1081" spans="1:19" ht="13.2" hidden="1" customHeight="1" outlineLevel="1">
      <c r="A1081" s="211" t="s">
        <v>1039</v>
      </c>
      <c r="B1081" s="1346" t="s">
        <v>423</v>
      </c>
      <c r="C1081" s="1332">
        <v>703</v>
      </c>
      <c r="D1081" s="1313" t="s">
        <v>427</v>
      </c>
      <c r="E1081" s="1347" t="s">
        <v>349</v>
      </c>
      <c r="F1081" s="1313" t="s">
        <v>430</v>
      </c>
      <c r="G1081" s="1349">
        <v>9.9339999999999998E-2</v>
      </c>
      <c r="H1081" s="222">
        <f t="shared" si="505"/>
        <v>1900</v>
      </c>
      <c r="I1081" s="1354">
        <v>1900</v>
      </c>
      <c r="J1081" s="1354"/>
      <c r="K1081" s="1354"/>
      <c r="L1081" s="1347" t="s">
        <v>349</v>
      </c>
      <c r="M1081" s="223">
        <f t="shared" si="506"/>
        <v>188.74600000000001</v>
      </c>
      <c r="N1081" s="224">
        <f t="shared" si="499"/>
        <v>188.74600000000001</v>
      </c>
      <c r="O1081" s="224">
        <f t="shared" si="500"/>
        <v>0</v>
      </c>
      <c r="P1081" s="224">
        <f t="shared" si="501"/>
        <v>0</v>
      </c>
      <c r="Q1081" s="208"/>
    </row>
    <row r="1082" spans="1:19" ht="13.2" hidden="1" customHeight="1" outlineLevel="1">
      <c r="A1082" s="211" t="s">
        <v>1039</v>
      </c>
      <c r="B1082" s="1346" t="s">
        <v>604</v>
      </c>
      <c r="C1082" s="1332">
        <v>707</v>
      </c>
      <c r="D1082" s="1313" t="s">
        <v>427</v>
      </c>
      <c r="E1082" s="1347" t="s">
        <v>349</v>
      </c>
      <c r="F1082" s="1313" t="s">
        <v>430</v>
      </c>
      <c r="G1082" s="1349">
        <v>9.9339999999999998E-2</v>
      </c>
      <c r="H1082" s="222">
        <f t="shared" si="505"/>
        <v>8274</v>
      </c>
      <c r="I1082" s="1354">
        <v>8274</v>
      </c>
      <c r="J1082" s="1354"/>
      <c r="K1082" s="1354"/>
      <c r="L1082" s="1347" t="s">
        <v>349</v>
      </c>
      <c r="M1082" s="223">
        <f t="shared" ref="M1082:M1147" si="507">SUM(N1082:P1082)</f>
        <v>821.93916000000002</v>
      </c>
      <c r="N1082" s="224">
        <f t="shared" si="499"/>
        <v>821.93916000000002</v>
      </c>
      <c r="O1082" s="224">
        <f t="shared" si="500"/>
        <v>0</v>
      </c>
      <c r="P1082" s="224">
        <f t="shared" si="501"/>
        <v>0</v>
      </c>
      <c r="Q1082" s="208"/>
    </row>
    <row r="1083" spans="1:19" ht="13.2" hidden="1" customHeight="1" outlineLevel="1">
      <c r="A1083" s="211" t="s">
        <v>1039</v>
      </c>
      <c r="B1083" s="1356" t="s">
        <v>466</v>
      </c>
      <c r="C1083" s="1334">
        <v>15025</v>
      </c>
      <c r="D1083" s="1317" t="s">
        <v>427</v>
      </c>
      <c r="E1083" s="1357" t="s">
        <v>349</v>
      </c>
      <c r="F1083" s="1317" t="s">
        <v>430</v>
      </c>
      <c r="G1083" s="1348">
        <v>9.9339999999999998E-2</v>
      </c>
      <c r="H1083" s="272">
        <f t="shared" si="505"/>
        <v>809</v>
      </c>
      <c r="I1083" s="1354">
        <v>809</v>
      </c>
      <c r="J1083" s="1354"/>
      <c r="K1083" s="1354"/>
      <c r="L1083" s="1347" t="s">
        <v>349</v>
      </c>
      <c r="M1083" s="223">
        <f t="shared" si="507"/>
        <v>80.366060000000004</v>
      </c>
      <c r="N1083" s="224">
        <f t="shared" si="499"/>
        <v>80.366060000000004</v>
      </c>
      <c r="O1083" s="224">
        <f t="shared" si="500"/>
        <v>0</v>
      </c>
      <c r="P1083" s="224">
        <f t="shared" si="501"/>
        <v>0</v>
      </c>
      <c r="Q1083" s="208"/>
    </row>
    <row r="1084" spans="1:19" ht="13.2" hidden="1" customHeight="1" outlineLevel="1">
      <c r="A1084" s="211" t="s">
        <v>1039</v>
      </c>
      <c r="B1084" s="1346" t="s">
        <v>659</v>
      </c>
      <c r="C1084" s="1332">
        <v>51778</v>
      </c>
      <c r="D1084" s="1313" t="s">
        <v>427</v>
      </c>
      <c r="E1084" s="1347" t="s">
        <v>349</v>
      </c>
      <c r="F1084" s="1313" t="s">
        <v>430</v>
      </c>
      <c r="G1084" s="1349">
        <v>9.9339999999999998E-2</v>
      </c>
      <c r="H1084" s="272">
        <f t="shared" si="505"/>
        <v>516</v>
      </c>
      <c r="I1084" s="1354">
        <v>516</v>
      </c>
      <c r="J1084" s="1354"/>
      <c r="K1084" s="1354"/>
      <c r="L1084" s="1347" t="s">
        <v>349</v>
      </c>
      <c r="M1084" s="223">
        <f t="shared" si="507"/>
        <v>51.259439999999998</v>
      </c>
      <c r="N1084" s="224">
        <f t="shared" si="499"/>
        <v>51.259439999999998</v>
      </c>
      <c r="O1084" s="224">
        <f t="shared" si="500"/>
        <v>0</v>
      </c>
      <c r="P1084" s="224">
        <f t="shared" si="501"/>
        <v>0</v>
      </c>
      <c r="Q1084" s="208"/>
    </row>
    <row r="1085" spans="1:19" ht="13.2" hidden="1" customHeight="1" outlineLevel="1">
      <c r="A1085" s="225" t="s">
        <v>1039</v>
      </c>
      <c r="B1085" s="1350" t="s">
        <v>461</v>
      </c>
      <c r="C1085" s="1336">
        <v>60447</v>
      </c>
      <c r="D1085" s="1321" t="s">
        <v>427</v>
      </c>
      <c r="E1085" s="1351" t="s">
        <v>349</v>
      </c>
      <c r="F1085" s="1321" t="s">
        <v>430</v>
      </c>
      <c r="G1085" s="1352">
        <v>9.9339999999999998E-2</v>
      </c>
      <c r="H1085" s="226">
        <f t="shared" si="505"/>
        <v>28569</v>
      </c>
      <c r="I1085" s="1355">
        <v>28569</v>
      </c>
      <c r="J1085" s="1355"/>
      <c r="K1085" s="1355"/>
      <c r="L1085" s="1351" t="s">
        <v>349</v>
      </c>
      <c r="M1085" s="227">
        <f t="shared" si="507"/>
        <v>2838.0444600000001</v>
      </c>
      <c r="N1085" s="228">
        <f t="shared" si="499"/>
        <v>2838.0444600000001</v>
      </c>
      <c r="O1085" s="228">
        <f t="shared" si="500"/>
        <v>0</v>
      </c>
      <c r="P1085" s="228">
        <f t="shared" si="501"/>
        <v>0</v>
      </c>
      <c r="Q1085" s="229"/>
      <c r="R1085" s="512">
        <f>SUM(M1053:M1085)</f>
        <v>11614.5399</v>
      </c>
      <c r="S1085" s="780"/>
    </row>
    <row r="1086" spans="1:19" ht="13.2" hidden="1" customHeight="1" outlineLevel="1">
      <c r="A1086" s="775" t="s">
        <v>1039</v>
      </c>
      <c r="B1086" s="1343" t="s">
        <v>408</v>
      </c>
      <c r="C1086" s="1330">
        <v>841</v>
      </c>
      <c r="D1086" s="1309" t="s">
        <v>431</v>
      </c>
      <c r="E1086" s="1344" t="s">
        <v>349</v>
      </c>
      <c r="F1086" s="1309" t="s">
        <v>429</v>
      </c>
      <c r="G1086" s="1345">
        <v>9.3490000000000004E-2</v>
      </c>
      <c r="H1086" s="222">
        <f t="shared" si="505"/>
        <v>232</v>
      </c>
      <c r="I1086" s="1354">
        <v>232</v>
      </c>
      <c r="J1086" s="1354"/>
      <c r="K1086" s="1354"/>
      <c r="L1086" s="1347" t="s">
        <v>349</v>
      </c>
      <c r="M1086" s="223">
        <f t="shared" si="507"/>
        <v>21.689679999999999</v>
      </c>
      <c r="N1086" s="224">
        <f t="shared" si="499"/>
        <v>21.689679999999999</v>
      </c>
      <c r="O1086" s="224">
        <f t="shared" si="500"/>
        <v>0</v>
      </c>
      <c r="P1086" s="224">
        <f t="shared" si="501"/>
        <v>0</v>
      </c>
      <c r="Q1086" s="205"/>
    </row>
    <row r="1087" spans="1:19" ht="13.2" hidden="1" customHeight="1" outlineLevel="1">
      <c r="A1087" s="211" t="s">
        <v>1039</v>
      </c>
      <c r="B1087" s="1346" t="s">
        <v>1259</v>
      </c>
      <c r="C1087" s="1332">
        <v>882</v>
      </c>
      <c r="D1087" s="1313" t="s">
        <v>431</v>
      </c>
      <c r="E1087" s="1347" t="s">
        <v>349</v>
      </c>
      <c r="F1087" s="1313" t="s">
        <v>429</v>
      </c>
      <c r="G1087" s="1349">
        <v>9.3490000000000004E-2</v>
      </c>
      <c r="H1087" s="222">
        <f t="shared" ref="H1087" si="508">SUM(I1087:K1087)</f>
        <v>0</v>
      </c>
      <c r="I1087" s="1354">
        <v>0</v>
      </c>
      <c r="J1087" s="1492"/>
      <c r="K1087" s="1492"/>
      <c r="L1087" s="1357" t="s">
        <v>349</v>
      </c>
      <c r="M1087" s="223">
        <f t="shared" ref="M1087" si="509">SUM(N1087:P1087)</f>
        <v>0</v>
      </c>
      <c r="N1087" s="224">
        <f t="shared" si="499"/>
        <v>0</v>
      </c>
      <c r="O1087" s="224">
        <f t="shared" si="500"/>
        <v>0</v>
      </c>
      <c r="P1087" s="224">
        <f t="shared" si="501"/>
        <v>0</v>
      </c>
      <c r="Q1087" s="205"/>
    </row>
    <row r="1088" spans="1:19" ht="13.2" hidden="1" customHeight="1" outlineLevel="1">
      <c r="A1088" s="211" t="s">
        <v>1039</v>
      </c>
      <c r="B1088" s="1346" t="s">
        <v>409</v>
      </c>
      <c r="C1088" s="1332">
        <v>21717</v>
      </c>
      <c r="D1088" s="1313" t="s">
        <v>431</v>
      </c>
      <c r="E1088" s="1347" t="s">
        <v>349</v>
      </c>
      <c r="F1088" s="1313" t="s">
        <v>429</v>
      </c>
      <c r="G1088" s="1349">
        <v>9.3490000000000004E-2</v>
      </c>
      <c r="H1088" s="222">
        <f t="shared" si="505"/>
        <v>906</v>
      </c>
      <c r="I1088" s="1354">
        <v>906</v>
      </c>
      <c r="J1088" s="1354"/>
      <c r="K1088" s="1354"/>
      <c r="L1088" s="1347" t="s">
        <v>349</v>
      </c>
      <c r="M1088" s="223">
        <f t="shared" si="507"/>
        <v>84.701940000000008</v>
      </c>
      <c r="N1088" s="224">
        <f t="shared" si="499"/>
        <v>84.701940000000008</v>
      </c>
      <c r="O1088" s="224">
        <f t="shared" si="500"/>
        <v>0</v>
      </c>
      <c r="P1088" s="224">
        <f t="shared" si="501"/>
        <v>0</v>
      </c>
      <c r="Q1088" s="205"/>
    </row>
    <row r="1089" spans="1:18" ht="13.2" hidden="1" customHeight="1" outlineLevel="1">
      <c r="A1089" s="211" t="s">
        <v>1039</v>
      </c>
      <c r="B1089" s="1346" t="s">
        <v>410</v>
      </c>
      <c r="C1089" s="1332">
        <v>749</v>
      </c>
      <c r="D1089" s="1313" t="s">
        <v>431</v>
      </c>
      <c r="E1089" s="1347" t="s">
        <v>349</v>
      </c>
      <c r="F1089" s="1313" t="s">
        <v>430</v>
      </c>
      <c r="G1089" s="1349">
        <v>9.9339999999999998E-2</v>
      </c>
      <c r="H1089" s="222">
        <f t="shared" si="505"/>
        <v>4353</v>
      </c>
      <c r="I1089" s="1354">
        <v>4353</v>
      </c>
      <c r="J1089" s="1354"/>
      <c r="K1089" s="1354"/>
      <c r="L1089" s="1347" t="s">
        <v>349</v>
      </c>
      <c r="M1089" s="223">
        <f t="shared" si="507"/>
        <v>432.42701999999997</v>
      </c>
      <c r="N1089" s="224">
        <f t="shared" si="499"/>
        <v>432.42701999999997</v>
      </c>
      <c r="O1089" s="224">
        <f t="shared" si="500"/>
        <v>0</v>
      </c>
      <c r="P1089" s="224">
        <f t="shared" si="501"/>
        <v>0</v>
      </c>
      <c r="Q1089" s="205"/>
    </row>
    <row r="1090" spans="1:18" ht="13.2" hidden="1" customHeight="1" outlineLevel="1">
      <c r="A1090" s="211" t="s">
        <v>1039</v>
      </c>
      <c r="B1090" s="1346" t="s">
        <v>411</v>
      </c>
      <c r="C1090" s="1332">
        <v>20044</v>
      </c>
      <c r="D1090" s="1313" t="s">
        <v>431</v>
      </c>
      <c r="E1090" s="1347" t="s">
        <v>349</v>
      </c>
      <c r="F1090" s="1313" t="s">
        <v>430</v>
      </c>
      <c r="G1090" s="1349">
        <v>9.9339999999999998E-2</v>
      </c>
      <c r="H1090" s="222">
        <f t="shared" ref="H1090:H1105" si="510">SUM(I1090:K1090)</f>
        <v>2195</v>
      </c>
      <c r="I1090" s="1354">
        <v>2195</v>
      </c>
      <c r="J1090" s="1354"/>
      <c r="K1090" s="1354"/>
      <c r="L1090" s="1347" t="s">
        <v>349</v>
      </c>
      <c r="M1090" s="223">
        <f t="shared" si="507"/>
        <v>218.0513</v>
      </c>
      <c r="N1090" s="224">
        <f t="shared" si="499"/>
        <v>218.0513</v>
      </c>
      <c r="O1090" s="224">
        <f t="shared" si="500"/>
        <v>0</v>
      </c>
      <c r="P1090" s="224">
        <f t="shared" si="501"/>
        <v>0</v>
      </c>
      <c r="Q1090" s="205"/>
    </row>
    <row r="1091" spans="1:18" ht="13.2" hidden="1" customHeight="1" outlineLevel="1">
      <c r="A1091" s="211" t="s">
        <v>1039</v>
      </c>
      <c r="B1091" s="1346" t="s">
        <v>412</v>
      </c>
      <c r="C1091" s="1332">
        <v>15141</v>
      </c>
      <c r="D1091" s="1313" t="s">
        <v>431</v>
      </c>
      <c r="E1091" s="1347" t="s">
        <v>349</v>
      </c>
      <c r="F1091" s="1313" t="s">
        <v>429</v>
      </c>
      <c r="G1091" s="1349">
        <v>9.3490000000000004E-2</v>
      </c>
      <c r="H1091" s="222">
        <f t="shared" si="510"/>
        <v>632</v>
      </c>
      <c r="I1091" s="1354">
        <v>632</v>
      </c>
      <c r="J1091" s="1354"/>
      <c r="K1091" s="1354"/>
      <c r="L1091" s="1347" t="s">
        <v>349</v>
      </c>
      <c r="M1091" s="223">
        <f t="shared" si="507"/>
        <v>59.085680000000004</v>
      </c>
      <c r="N1091" s="224">
        <f t="shared" si="499"/>
        <v>59.085680000000004</v>
      </c>
      <c r="O1091" s="224">
        <f t="shared" si="500"/>
        <v>0</v>
      </c>
      <c r="P1091" s="224">
        <f t="shared" si="501"/>
        <v>0</v>
      </c>
      <c r="Q1091" s="205"/>
    </row>
    <row r="1092" spans="1:18" ht="13.2" hidden="1" customHeight="1" outlineLevel="1">
      <c r="A1092" s="211" t="s">
        <v>1039</v>
      </c>
      <c r="B1092" s="1346" t="s">
        <v>413</v>
      </c>
      <c r="C1092" s="1332">
        <v>16904</v>
      </c>
      <c r="D1092" s="1313" t="s">
        <v>431</v>
      </c>
      <c r="E1092" s="1347" t="s">
        <v>349</v>
      </c>
      <c r="F1092" s="1313" t="s">
        <v>430</v>
      </c>
      <c r="G1092" s="1349">
        <v>9.9339999999999998E-2</v>
      </c>
      <c r="H1092" s="222">
        <f t="shared" si="510"/>
        <v>2040</v>
      </c>
      <c r="I1092" s="1354">
        <v>2040</v>
      </c>
      <c r="J1092" s="1354"/>
      <c r="K1092" s="1354"/>
      <c r="L1092" s="1347" t="s">
        <v>349</v>
      </c>
      <c r="M1092" s="223">
        <f t="shared" si="507"/>
        <v>202.65359999999998</v>
      </c>
      <c r="N1092" s="224">
        <f t="shared" si="499"/>
        <v>202.65359999999998</v>
      </c>
      <c r="O1092" s="224">
        <f t="shared" si="500"/>
        <v>0</v>
      </c>
      <c r="P1092" s="224">
        <f t="shared" si="501"/>
        <v>0</v>
      </c>
      <c r="Q1092" s="205"/>
    </row>
    <row r="1093" spans="1:18" ht="13.2" hidden="1" customHeight="1" outlineLevel="1">
      <c r="A1093" s="211" t="s">
        <v>1039</v>
      </c>
      <c r="B1093" s="1346" t="s">
        <v>595</v>
      </c>
      <c r="C1093" s="1332">
        <v>891</v>
      </c>
      <c r="D1093" s="1313" t="s">
        <v>431</v>
      </c>
      <c r="E1093" s="1347" t="s">
        <v>349</v>
      </c>
      <c r="F1093" s="1313" t="s">
        <v>429</v>
      </c>
      <c r="G1093" s="1349">
        <v>9.3490000000000004E-2</v>
      </c>
      <c r="H1093" s="222">
        <f t="shared" si="510"/>
        <v>1613</v>
      </c>
      <c r="I1093" s="1354">
        <v>1613</v>
      </c>
      <c r="J1093" s="1354"/>
      <c r="K1093" s="1354"/>
      <c r="L1093" s="1347" t="s">
        <v>349</v>
      </c>
      <c r="M1093" s="223">
        <f t="shared" si="507"/>
        <v>150.79937000000001</v>
      </c>
      <c r="N1093" s="224">
        <f t="shared" si="499"/>
        <v>150.79937000000001</v>
      </c>
      <c r="O1093" s="224">
        <f t="shared" si="500"/>
        <v>0</v>
      </c>
      <c r="P1093" s="224">
        <f t="shared" si="501"/>
        <v>0</v>
      </c>
      <c r="Q1093" s="205"/>
    </row>
    <row r="1094" spans="1:18" ht="13.2" hidden="1" customHeight="1" outlineLevel="1">
      <c r="A1094" s="211" t="s">
        <v>1039</v>
      </c>
      <c r="B1094" s="1346" t="s">
        <v>606</v>
      </c>
      <c r="C1094" s="1332">
        <v>892</v>
      </c>
      <c r="D1094" s="1313" t="s">
        <v>431</v>
      </c>
      <c r="E1094" s="1347" t="s">
        <v>349</v>
      </c>
      <c r="F1094" s="1313" t="s">
        <v>429</v>
      </c>
      <c r="G1094" s="1349">
        <v>9.3490000000000004E-2</v>
      </c>
      <c r="H1094" s="222">
        <f t="shared" si="510"/>
        <v>6292</v>
      </c>
      <c r="I1094" s="1354">
        <v>6292</v>
      </c>
      <c r="J1094" s="1354"/>
      <c r="K1094" s="1354"/>
      <c r="L1094" s="1347" t="s">
        <v>349</v>
      </c>
      <c r="M1094" s="223">
        <f t="shared" si="507"/>
        <v>588.23908000000006</v>
      </c>
      <c r="N1094" s="224">
        <f t="shared" si="499"/>
        <v>588.23908000000006</v>
      </c>
      <c r="O1094" s="224">
        <f t="shared" si="500"/>
        <v>0</v>
      </c>
      <c r="P1094" s="224">
        <f t="shared" si="501"/>
        <v>0</v>
      </c>
      <c r="Q1094" s="205"/>
    </row>
    <row r="1095" spans="1:18" ht="13.2" hidden="1" customHeight="1" outlineLevel="1">
      <c r="A1095" s="211" t="s">
        <v>1039</v>
      </c>
      <c r="B1095" s="1346" t="s">
        <v>1302</v>
      </c>
      <c r="C1095" s="1332">
        <v>708</v>
      </c>
      <c r="D1095" s="1313" t="s">
        <v>431</v>
      </c>
      <c r="E1095" s="1347" t="s">
        <v>349</v>
      </c>
      <c r="F1095" s="1313" t="s">
        <v>430</v>
      </c>
      <c r="G1095" s="1349">
        <v>9.9339999999999998E-2</v>
      </c>
      <c r="H1095" s="222">
        <f t="shared" si="510"/>
        <v>0</v>
      </c>
      <c r="I1095" s="1354">
        <v>0</v>
      </c>
      <c r="J1095" s="1354"/>
      <c r="K1095" s="1354"/>
      <c r="L1095" s="1347" t="s">
        <v>349</v>
      </c>
      <c r="M1095" s="223">
        <f t="shared" si="507"/>
        <v>0</v>
      </c>
      <c r="N1095" s="224">
        <f t="shared" si="499"/>
        <v>0</v>
      </c>
      <c r="O1095" s="224">
        <f t="shared" si="500"/>
        <v>0</v>
      </c>
      <c r="P1095" s="224">
        <f t="shared" si="501"/>
        <v>0</v>
      </c>
      <c r="Q1095" s="205"/>
    </row>
    <row r="1096" spans="1:18" ht="13.2" hidden="1" customHeight="1" outlineLevel="1">
      <c r="A1096" s="211" t="s">
        <v>1039</v>
      </c>
      <c r="B1096" s="1346" t="s">
        <v>414</v>
      </c>
      <c r="C1096" s="1332">
        <v>16757</v>
      </c>
      <c r="D1096" s="1313" t="s">
        <v>431</v>
      </c>
      <c r="E1096" s="1347" t="s">
        <v>349</v>
      </c>
      <c r="F1096" s="1313" t="s">
        <v>429</v>
      </c>
      <c r="G1096" s="1349">
        <v>9.3490000000000004E-2</v>
      </c>
      <c r="H1096" s="222">
        <f t="shared" si="510"/>
        <v>1258</v>
      </c>
      <c r="I1096" s="1354">
        <v>1258</v>
      </c>
      <c r="J1096" s="1354"/>
      <c r="K1096" s="1354"/>
      <c r="L1096" s="1347" t="s">
        <v>349</v>
      </c>
      <c r="M1096" s="223">
        <f t="shared" si="507"/>
        <v>117.61042</v>
      </c>
      <c r="N1096" s="224">
        <f t="shared" si="499"/>
        <v>117.61042</v>
      </c>
      <c r="O1096" s="224">
        <f t="shared" si="500"/>
        <v>0</v>
      </c>
      <c r="P1096" s="224">
        <f t="shared" si="501"/>
        <v>0</v>
      </c>
      <c r="Q1096" s="205"/>
    </row>
    <row r="1097" spans="1:18" ht="13.2" hidden="1" customHeight="1" outlineLevel="1">
      <c r="A1097" s="211" t="s">
        <v>1039</v>
      </c>
      <c r="B1097" s="1346" t="s">
        <v>596</v>
      </c>
      <c r="C1097" s="1332">
        <v>878</v>
      </c>
      <c r="D1097" s="1313" t="s">
        <v>431</v>
      </c>
      <c r="E1097" s="1347" t="s">
        <v>349</v>
      </c>
      <c r="F1097" s="1313" t="s">
        <v>429</v>
      </c>
      <c r="G1097" s="1349">
        <v>9.3490000000000004E-2</v>
      </c>
      <c r="H1097" s="222">
        <f t="shared" si="510"/>
        <v>8743</v>
      </c>
      <c r="I1097" s="1354">
        <v>8743</v>
      </c>
      <c r="J1097" s="1354"/>
      <c r="K1097" s="1354"/>
      <c r="L1097" s="1347" t="s">
        <v>349</v>
      </c>
      <c r="M1097" s="223">
        <f t="shared" si="507"/>
        <v>817.38306999999998</v>
      </c>
      <c r="N1097" s="224">
        <f t="shared" si="499"/>
        <v>817.38306999999998</v>
      </c>
      <c r="O1097" s="224">
        <f t="shared" si="500"/>
        <v>0</v>
      </c>
      <c r="P1097" s="224">
        <f t="shared" si="501"/>
        <v>0</v>
      </c>
      <c r="Q1097" s="205"/>
    </row>
    <row r="1098" spans="1:18" ht="13.2" hidden="1" customHeight="1" outlineLevel="1">
      <c r="A1098" s="211" t="s">
        <v>1039</v>
      </c>
      <c r="B1098" s="1346" t="s">
        <v>597</v>
      </c>
      <c r="C1098" s="1332">
        <v>879</v>
      </c>
      <c r="D1098" s="1313" t="s">
        <v>431</v>
      </c>
      <c r="E1098" s="1347" t="s">
        <v>349</v>
      </c>
      <c r="F1098" s="1313" t="s">
        <v>429</v>
      </c>
      <c r="G1098" s="1349">
        <v>9.3490000000000004E-2</v>
      </c>
      <c r="H1098" s="222">
        <f t="shared" si="510"/>
        <v>3046</v>
      </c>
      <c r="I1098" s="1354">
        <v>3046</v>
      </c>
      <c r="J1098" s="1354"/>
      <c r="K1098" s="1354"/>
      <c r="L1098" s="1347" t="s">
        <v>349</v>
      </c>
      <c r="M1098" s="223">
        <f t="shared" si="507"/>
        <v>284.77054000000004</v>
      </c>
      <c r="N1098" s="224">
        <f t="shared" si="499"/>
        <v>284.77054000000004</v>
      </c>
      <c r="O1098" s="224">
        <f t="shared" si="500"/>
        <v>0</v>
      </c>
      <c r="P1098" s="224">
        <f t="shared" si="501"/>
        <v>0</v>
      </c>
      <c r="Q1098" s="205"/>
    </row>
    <row r="1099" spans="1:18" ht="13.2" hidden="1" customHeight="1" outlineLevel="1">
      <c r="A1099" s="211" t="s">
        <v>1039</v>
      </c>
      <c r="B1099" s="1346" t="s">
        <v>598</v>
      </c>
      <c r="C1099" s="1332">
        <v>880</v>
      </c>
      <c r="D1099" s="1313" t="s">
        <v>431</v>
      </c>
      <c r="E1099" s="1347" t="s">
        <v>349</v>
      </c>
      <c r="F1099" s="1313" t="s">
        <v>429</v>
      </c>
      <c r="G1099" s="1349">
        <v>9.3490000000000004E-2</v>
      </c>
      <c r="H1099" s="222">
        <f t="shared" si="510"/>
        <v>9181</v>
      </c>
      <c r="I1099" s="1354">
        <v>9181</v>
      </c>
      <c r="J1099" s="1354"/>
      <c r="K1099" s="1354"/>
      <c r="L1099" s="1347" t="s">
        <v>349</v>
      </c>
      <c r="M1099" s="223">
        <f t="shared" si="507"/>
        <v>858.33168999999998</v>
      </c>
      <c r="N1099" s="224">
        <f t="shared" si="499"/>
        <v>858.33168999999998</v>
      </c>
      <c r="O1099" s="224">
        <f t="shared" si="500"/>
        <v>0</v>
      </c>
      <c r="P1099" s="224">
        <f t="shared" si="501"/>
        <v>0</v>
      </c>
      <c r="Q1099" s="205"/>
    </row>
    <row r="1100" spans="1:18" ht="13.2" hidden="1" customHeight="1" outlineLevel="1">
      <c r="A1100" s="211" t="s">
        <v>1039</v>
      </c>
      <c r="B1100" s="1346" t="s">
        <v>599</v>
      </c>
      <c r="C1100" s="1332">
        <v>4650</v>
      </c>
      <c r="D1100" s="1313" t="s">
        <v>431</v>
      </c>
      <c r="E1100" s="1347" t="s">
        <v>349</v>
      </c>
      <c r="F1100" s="1313" t="s">
        <v>429</v>
      </c>
      <c r="G1100" s="1349">
        <v>9.3490000000000004E-2</v>
      </c>
      <c r="H1100" s="222">
        <f t="shared" si="510"/>
        <v>6645</v>
      </c>
      <c r="I1100" s="1354">
        <v>6645</v>
      </c>
      <c r="J1100" s="1354"/>
      <c r="K1100" s="1354"/>
      <c r="L1100" s="1347" t="s">
        <v>349</v>
      </c>
      <c r="M1100" s="223">
        <f t="shared" si="507"/>
        <v>621.24104999999997</v>
      </c>
      <c r="N1100" s="224">
        <f t="shared" si="499"/>
        <v>621.24104999999997</v>
      </c>
      <c r="O1100" s="224">
        <f t="shared" si="500"/>
        <v>0</v>
      </c>
      <c r="P1100" s="224">
        <f t="shared" si="501"/>
        <v>0</v>
      </c>
      <c r="Q1100" s="205"/>
    </row>
    <row r="1101" spans="1:18" ht="13.2" hidden="1" customHeight="1" outlineLevel="1">
      <c r="A1101" s="211" t="s">
        <v>1039</v>
      </c>
      <c r="B1101" s="1346" t="s">
        <v>1303</v>
      </c>
      <c r="C1101" s="1332">
        <v>14114</v>
      </c>
      <c r="D1101" s="1313" t="s">
        <v>431</v>
      </c>
      <c r="E1101" s="1347" t="s">
        <v>349</v>
      </c>
      <c r="F1101" s="1313" t="s">
        <v>430</v>
      </c>
      <c r="G1101" s="1349">
        <v>9.9339999999999998E-2</v>
      </c>
      <c r="H1101" s="222">
        <f t="shared" si="510"/>
        <v>7250</v>
      </c>
      <c r="I1101" s="1354">
        <v>7250</v>
      </c>
      <c r="J1101" s="1354"/>
      <c r="K1101" s="1354"/>
      <c r="L1101" s="1347" t="s">
        <v>349</v>
      </c>
      <c r="M1101" s="223">
        <f t="shared" si="507"/>
        <v>720.21500000000003</v>
      </c>
      <c r="N1101" s="224">
        <f t="shared" si="499"/>
        <v>720.21500000000003</v>
      </c>
      <c r="O1101" s="224">
        <f t="shared" si="500"/>
        <v>0</v>
      </c>
      <c r="P1101" s="224">
        <f t="shared" si="501"/>
        <v>0</v>
      </c>
      <c r="Q1101" s="205"/>
    </row>
    <row r="1102" spans="1:18" ht="13.2" hidden="1" customHeight="1" outlineLevel="1">
      <c r="A1102" s="211" t="s">
        <v>1039</v>
      </c>
      <c r="B1102" s="1346" t="s">
        <v>1303</v>
      </c>
      <c r="C1102" s="1332">
        <v>14114</v>
      </c>
      <c r="D1102" s="1313" t="s">
        <v>431</v>
      </c>
      <c r="E1102" s="1347" t="s">
        <v>349</v>
      </c>
      <c r="F1102" s="1313" t="s">
        <v>430</v>
      </c>
      <c r="G1102" s="1349">
        <v>0.18418000000000001</v>
      </c>
      <c r="H1102" s="222">
        <f t="shared" si="510"/>
        <v>6014</v>
      </c>
      <c r="I1102" s="1354">
        <v>6014</v>
      </c>
      <c r="J1102" s="1354"/>
      <c r="K1102" s="1354"/>
      <c r="L1102" s="1347" t="s">
        <v>349</v>
      </c>
      <c r="M1102" s="223">
        <f t="shared" si="507"/>
        <v>1107.65852</v>
      </c>
      <c r="N1102" s="224">
        <f t="shared" si="499"/>
        <v>1107.65852</v>
      </c>
      <c r="O1102" s="224">
        <f t="shared" si="500"/>
        <v>0</v>
      </c>
      <c r="P1102" s="224">
        <f t="shared" si="501"/>
        <v>0</v>
      </c>
      <c r="Q1102" s="205"/>
      <c r="R1102" s="1413"/>
    </row>
    <row r="1103" spans="1:18" ht="13.2" hidden="1" customHeight="1" outlineLevel="1">
      <c r="A1103" s="211" t="s">
        <v>1039</v>
      </c>
      <c r="B1103" s="1346" t="s">
        <v>600</v>
      </c>
      <c r="C1103" s="1332">
        <v>969</v>
      </c>
      <c r="D1103" s="1313" t="s">
        <v>431</v>
      </c>
      <c r="E1103" s="1347" t="s">
        <v>349</v>
      </c>
      <c r="F1103" s="1313" t="s">
        <v>429</v>
      </c>
      <c r="G1103" s="1349">
        <v>9.3490000000000004E-2</v>
      </c>
      <c r="H1103" s="222">
        <f t="shared" si="510"/>
        <v>8828</v>
      </c>
      <c r="I1103" s="1354">
        <v>8828</v>
      </c>
      <c r="J1103" s="1354"/>
      <c r="K1103" s="1354"/>
      <c r="L1103" s="1347" t="s">
        <v>349</v>
      </c>
      <c r="M1103" s="223">
        <f t="shared" si="507"/>
        <v>825.32972000000007</v>
      </c>
      <c r="N1103" s="224">
        <f t="shared" si="499"/>
        <v>825.32972000000007</v>
      </c>
      <c r="O1103" s="224">
        <f t="shared" si="500"/>
        <v>0</v>
      </c>
      <c r="P1103" s="224">
        <f t="shared" si="501"/>
        <v>0</v>
      </c>
      <c r="Q1103" s="205"/>
    </row>
    <row r="1104" spans="1:18" ht="13.2" hidden="1" customHeight="1" outlineLevel="1">
      <c r="A1104" s="211" t="s">
        <v>1039</v>
      </c>
      <c r="B1104" s="1346" t="s">
        <v>601</v>
      </c>
      <c r="C1104" s="1332">
        <v>1003</v>
      </c>
      <c r="D1104" s="1313" t="s">
        <v>431</v>
      </c>
      <c r="E1104" s="1347" t="s">
        <v>349</v>
      </c>
      <c r="F1104" s="1313" t="s">
        <v>430</v>
      </c>
      <c r="G1104" s="1349">
        <v>9.9339999999999998E-2</v>
      </c>
      <c r="H1104" s="222">
        <f t="shared" si="510"/>
        <v>5527</v>
      </c>
      <c r="I1104" s="1354">
        <v>5527</v>
      </c>
      <c r="J1104" s="1354"/>
      <c r="K1104" s="1354"/>
      <c r="L1104" s="1347" t="s">
        <v>349</v>
      </c>
      <c r="M1104" s="223">
        <f t="shared" si="507"/>
        <v>549.05218000000002</v>
      </c>
      <c r="N1104" s="224">
        <f t="shared" si="499"/>
        <v>549.05218000000002</v>
      </c>
      <c r="O1104" s="224">
        <f t="shared" si="500"/>
        <v>0</v>
      </c>
      <c r="P1104" s="224">
        <f t="shared" si="501"/>
        <v>0</v>
      </c>
      <c r="Q1104" s="205"/>
    </row>
    <row r="1105" spans="1:18" ht="13.2" hidden="1" customHeight="1" outlineLevel="1">
      <c r="A1105" s="211" t="s">
        <v>1039</v>
      </c>
      <c r="B1105" s="1346" t="s">
        <v>416</v>
      </c>
      <c r="C1105" s="1332">
        <v>881</v>
      </c>
      <c r="D1105" s="1313" t="s">
        <v>431</v>
      </c>
      <c r="E1105" s="1347" t="s">
        <v>349</v>
      </c>
      <c r="F1105" s="1313" t="s">
        <v>429</v>
      </c>
      <c r="G1105" s="1349">
        <v>9.3490000000000004E-2</v>
      </c>
      <c r="H1105" s="222">
        <f t="shared" si="510"/>
        <v>985</v>
      </c>
      <c r="I1105" s="1354">
        <v>985</v>
      </c>
      <c r="J1105" s="1354"/>
      <c r="K1105" s="1354"/>
      <c r="L1105" s="1347" t="s">
        <v>349</v>
      </c>
      <c r="M1105" s="223">
        <f t="shared" si="507"/>
        <v>92.087650000000011</v>
      </c>
      <c r="N1105" s="224">
        <f t="shared" si="499"/>
        <v>92.087650000000011</v>
      </c>
      <c r="O1105" s="224">
        <f t="shared" si="500"/>
        <v>0</v>
      </c>
      <c r="P1105" s="224">
        <f t="shared" si="501"/>
        <v>0</v>
      </c>
      <c r="Q1105" s="205"/>
    </row>
    <row r="1106" spans="1:18" ht="13.2" hidden="1" customHeight="1" outlineLevel="1">
      <c r="A1106" s="211" t="s">
        <v>1039</v>
      </c>
      <c r="B1106" s="1346" t="s">
        <v>417</v>
      </c>
      <c r="C1106" s="1332">
        <v>832</v>
      </c>
      <c r="D1106" s="1313" t="s">
        <v>431</v>
      </c>
      <c r="E1106" s="1347" t="s">
        <v>349</v>
      </c>
      <c r="F1106" s="1313" t="s">
        <v>429</v>
      </c>
      <c r="G1106" s="1349">
        <v>9.3490000000000004E-2</v>
      </c>
      <c r="H1106" s="222">
        <f t="shared" ref="H1106:H1137" si="511">SUM(I1106:K1106)</f>
        <v>363</v>
      </c>
      <c r="I1106" s="1354">
        <v>363</v>
      </c>
      <c r="J1106" s="1354"/>
      <c r="K1106" s="1354"/>
      <c r="L1106" s="1347" t="s">
        <v>349</v>
      </c>
      <c r="M1106" s="223">
        <f t="shared" si="507"/>
        <v>33.936869999999999</v>
      </c>
      <c r="N1106" s="224">
        <f t="shared" si="499"/>
        <v>33.936869999999999</v>
      </c>
      <c r="O1106" s="224">
        <f t="shared" si="500"/>
        <v>0</v>
      </c>
      <c r="P1106" s="224">
        <f t="shared" si="501"/>
        <v>0</v>
      </c>
      <c r="Q1106" s="205"/>
    </row>
    <row r="1107" spans="1:18" ht="13.2" hidden="1" customHeight="1" outlineLevel="1">
      <c r="A1107" s="211" t="s">
        <v>1039</v>
      </c>
      <c r="B1107" s="1346" t="s">
        <v>418</v>
      </c>
      <c r="C1107" s="1332">
        <v>1138</v>
      </c>
      <c r="D1107" s="1313" t="s">
        <v>431</v>
      </c>
      <c r="E1107" s="1347" t="s">
        <v>349</v>
      </c>
      <c r="F1107" s="1313" t="s">
        <v>430</v>
      </c>
      <c r="G1107" s="1349">
        <v>9.9339999999999998E-2</v>
      </c>
      <c r="H1107" s="222">
        <f t="shared" si="511"/>
        <v>11366</v>
      </c>
      <c r="I1107" s="1354">
        <v>11366</v>
      </c>
      <c r="J1107" s="1354"/>
      <c r="K1107" s="1354"/>
      <c r="L1107" s="1347" t="s">
        <v>349</v>
      </c>
      <c r="M1107" s="223">
        <f t="shared" si="507"/>
        <v>1129.09844</v>
      </c>
      <c r="N1107" s="224">
        <f t="shared" si="499"/>
        <v>1129.09844</v>
      </c>
      <c r="O1107" s="224">
        <f t="shared" si="500"/>
        <v>0</v>
      </c>
      <c r="P1107" s="224">
        <f t="shared" si="501"/>
        <v>0</v>
      </c>
      <c r="Q1107" s="205"/>
    </row>
    <row r="1108" spans="1:18" ht="13.2" hidden="1" customHeight="1" outlineLevel="1">
      <c r="A1108" s="211" t="s">
        <v>1039</v>
      </c>
      <c r="B1108" s="1346" t="s">
        <v>419</v>
      </c>
      <c r="C1108" s="1332">
        <v>1010</v>
      </c>
      <c r="D1108" s="1313" t="s">
        <v>431</v>
      </c>
      <c r="E1108" s="1347" t="s">
        <v>349</v>
      </c>
      <c r="F1108" s="1313" t="s">
        <v>430</v>
      </c>
      <c r="G1108" s="1349">
        <v>9.9339999999999998E-2</v>
      </c>
      <c r="H1108" s="222">
        <f t="shared" si="511"/>
        <v>68</v>
      </c>
      <c r="I1108" s="1354">
        <v>68</v>
      </c>
      <c r="J1108" s="1354"/>
      <c r="K1108" s="1354"/>
      <c r="L1108" s="1347" t="s">
        <v>349</v>
      </c>
      <c r="M1108" s="223">
        <f t="shared" si="507"/>
        <v>6.7551199999999998</v>
      </c>
      <c r="N1108" s="224">
        <f t="shared" si="499"/>
        <v>6.7551199999999998</v>
      </c>
      <c r="O1108" s="224">
        <f t="shared" si="500"/>
        <v>0</v>
      </c>
      <c r="P1108" s="224">
        <f t="shared" si="501"/>
        <v>0</v>
      </c>
      <c r="Q1108" s="205"/>
    </row>
    <row r="1109" spans="1:18" ht="13.2" hidden="1" customHeight="1" outlineLevel="1">
      <c r="A1109" s="211" t="s">
        <v>1039</v>
      </c>
      <c r="B1109" s="1346" t="s">
        <v>420</v>
      </c>
      <c r="C1109" s="1332">
        <v>16476</v>
      </c>
      <c r="D1109" s="1313" t="s">
        <v>431</v>
      </c>
      <c r="E1109" s="1347" t="s">
        <v>349</v>
      </c>
      <c r="F1109" s="1313" t="s">
        <v>430</v>
      </c>
      <c r="G1109" s="1349">
        <v>9.9339999999999998E-2</v>
      </c>
      <c r="H1109" s="222">
        <f t="shared" si="511"/>
        <v>387</v>
      </c>
      <c r="I1109" s="1354">
        <v>387</v>
      </c>
      <c r="J1109" s="1354"/>
      <c r="K1109" s="1354"/>
      <c r="L1109" s="1347" t="s">
        <v>349</v>
      </c>
      <c r="M1109" s="223">
        <f t="shared" si="507"/>
        <v>38.444580000000002</v>
      </c>
      <c r="N1109" s="224">
        <f t="shared" si="499"/>
        <v>38.444580000000002</v>
      </c>
      <c r="O1109" s="224">
        <f t="shared" si="500"/>
        <v>0</v>
      </c>
      <c r="P1109" s="224">
        <f t="shared" si="501"/>
        <v>0</v>
      </c>
      <c r="Q1109" s="205"/>
    </row>
    <row r="1110" spans="1:18" ht="13.2" hidden="1" customHeight="1" outlineLevel="1">
      <c r="A1110" s="211" t="s">
        <v>1039</v>
      </c>
      <c r="B1110" s="1346" t="s">
        <v>602</v>
      </c>
      <c r="C1110" s="1332">
        <v>965</v>
      </c>
      <c r="D1110" s="1313" t="s">
        <v>431</v>
      </c>
      <c r="E1110" s="1347" t="s">
        <v>349</v>
      </c>
      <c r="F1110" s="1313" t="s">
        <v>429</v>
      </c>
      <c r="G1110" s="1349">
        <v>9.3490000000000004E-2</v>
      </c>
      <c r="H1110" s="222">
        <f t="shared" si="511"/>
        <v>1965</v>
      </c>
      <c r="I1110" s="1354">
        <v>1965</v>
      </c>
      <c r="J1110" s="1354"/>
      <c r="K1110" s="1354"/>
      <c r="L1110" s="1347" t="s">
        <v>349</v>
      </c>
      <c r="M1110" s="223">
        <f t="shared" si="507"/>
        <v>183.70785000000001</v>
      </c>
      <c r="N1110" s="224">
        <f t="shared" si="499"/>
        <v>183.70785000000001</v>
      </c>
      <c r="O1110" s="224">
        <f t="shared" si="500"/>
        <v>0</v>
      </c>
      <c r="P1110" s="224">
        <f t="shared" si="501"/>
        <v>0</v>
      </c>
      <c r="Q1110" s="205"/>
    </row>
    <row r="1111" spans="1:18" ht="13.2" hidden="1" customHeight="1" outlineLevel="1">
      <c r="A1111" s="211" t="s">
        <v>1039</v>
      </c>
      <c r="B1111" s="1346" t="s">
        <v>603</v>
      </c>
      <c r="C1111" s="1332">
        <v>968</v>
      </c>
      <c r="D1111" s="1313" t="s">
        <v>431</v>
      </c>
      <c r="E1111" s="1347" t="s">
        <v>349</v>
      </c>
      <c r="F1111" s="1313" t="s">
        <v>429</v>
      </c>
      <c r="G1111" s="1349">
        <v>9.3490000000000004E-2</v>
      </c>
      <c r="H1111" s="222">
        <f t="shared" si="511"/>
        <v>1680</v>
      </c>
      <c r="I1111" s="1354">
        <v>1680</v>
      </c>
      <c r="J1111" s="1354"/>
      <c r="K1111" s="1354"/>
      <c r="L1111" s="1347" t="s">
        <v>349</v>
      </c>
      <c r="M1111" s="223">
        <f t="shared" si="507"/>
        <v>157.06319999999999</v>
      </c>
      <c r="N1111" s="224">
        <f t="shared" si="499"/>
        <v>157.06319999999999</v>
      </c>
      <c r="O1111" s="224">
        <f t="shared" si="500"/>
        <v>0</v>
      </c>
      <c r="P1111" s="224">
        <f t="shared" si="501"/>
        <v>0</v>
      </c>
      <c r="Q1111" s="205"/>
    </row>
    <row r="1112" spans="1:18" ht="13.2" hidden="1" customHeight="1" outlineLevel="1">
      <c r="A1112" s="211" t="s">
        <v>1039</v>
      </c>
      <c r="B1112" s="1346" t="s">
        <v>421</v>
      </c>
      <c r="C1112" s="1332">
        <v>964</v>
      </c>
      <c r="D1112" s="1313" t="s">
        <v>431</v>
      </c>
      <c r="E1112" s="1347" t="s">
        <v>349</v>
      </c>
      <c r="F1112" s="1313" t="s">
        <v>429</v>
      </c>
      <c r="G1112" s="1349">
        <v>9.3490000000000004E-2</v>
      </c>
      <c r="H1112" s="222">
        <f t="shared" si="511"/>
        <v>114</v>
      </c>
      <c r="I1112" s="1354">
        <v>114</v>
      </c>
      <c r="J1112" s="1354"/>
      <c r="K1112" s="1354"/>
      <c r="L1112" s="1347" t="s">
        <v>349</v>
      </c>
      <c r="M1112" s="223">
        <f t="shared" si="507"/>
        <v>10.657860000000001</v>
      </c>
      <c r="N1112" s="224">
        <f t="shared" si="499"/>
        <v>10.657860000000001</v>
      </c>
      <c r="O1112" s="224">
        <f t="shared" si="500"/>
        <v>0</v>
      </c>
      <c r="P1112" s="224">
        <f t="shared" si="501"/>
        <v>0</v>
      </c>
      <c r="Q1112" s="205"/>
    </row>
    <row r="1113" spans="1:18" ht="13.2" hidden="1" customHeight="1" outlineLevel="1">
      <c r="A1113" s="211" t="s">
        <v>1039</v>
      </c>
      <c r="B1113" s="1346" t="s">
        <v>422</v>
      </c>
      <c r="C1113" s="1332">
        <v>16477</v>
      </c>
      <c r="D1113" s="1313" t="s">
        <v>431</v>
      </c>
      <c r="E1113" s="1347" t="s">
        <v>349</v>
      </c>
      <c r="F1113" s="1313" t="s">
        <v>430</v>
      </c>
      <c r="G1113" s="1349">
        <v>9.9339999999999998E-2</v>
      </c>
      <c r="H1113" s="222">
        <f t="shared" si="511"/>
        <v>100</v>
      </c>
      <c r="I1113" s="1354">
        <v>100</v>
      </c>
      <c r="J1113" s="1354"/>
      <c r="K1113" s="1354"/>
      <c r="L1113" s="1347" t="s">
        <v>349</v>
      </c>
      <c r="M1113" s="223">
        <f t="shared" si="507"/>
        <v>9.9339999999999993</v>
      </c>
      <c r="N1113" s="224">
        <f t="shared" si="499"/>
        <v>9.9339999999999993</v>
      </c>
      <c r="O1113" s="224">
        <f t="shared" si="500"/>
        <v>0</v>
      </c>
      <c r="P1113" s="224">
        <f t="shared" si="501"/>
        <v>0</v>
      </c>
      <c r="Q1113" s="205"/>
    </row>
    <row r="1114" spans="1:18" ht="13.2" hidden="1" customHeight="1" outlineLevel="1">
      <c r="A1114" s="211" t="s">
        <v>1039</v>
      </c>
      <c r="B1114" s="1346" t="s">
        <v>423</v>
      </c>
      <c r="C1114" s="1332">
        <v>703</v>
      </c>
      <c r="D1114" s="1313" t="s">
        <v>431</v>
      </c>
      <c r="E1114" s="1347" t="s">
        <v>349</v>
      </c>
      <c r="F1114" s="1313" t="s">
        <v>430</v>
      </c>
      <c r="G1114" s="1349">
        <v>9.9339999999999998E-2</v>
      </c>
      <c r="H1114" s="222">
        <f t="shared" si="511"/>
        <v>1935</v>
      </c>
      <c r="I1114" s="1354">
        <v>1935</v>
      </c>
      <c r="J1114" s="1354"/>
      <c r="K1114" s="1354"/>
      <c r="L1114" s="1347" t="s">
        <v>349</v>
      </c>
      <c r="M1114" s="223">
        <f t="shared" si="507"/>
        <v>192.22289999999998</v>
      </c>
      <c r="N1114" s="224">
        <f t="shared" si="499"/>
        <v>192.22289999999998</v>
      </c>
      <c r="O1114" s="224">
        <f t="shared" si="500"/>
        <v>0</v>
      </c>
      <c r="P1114" s="224">
        <f t="shared" si="501"/>
        <v>0</v>
      </c>
      <c r="Q1114" s="205"/>
    </row>
    <row r="1115" spans="1:18" ht="13.2" hidden="1" customHeight="1" outlineLevel="1">
      <c r="A1115" s="211" t="s">
        <v>1039</v>
      </c>
      <c r="B1115" s="1346" t="s">
        <v>604</v>
      </c>
      <c r="C1115" s="1332">
        <v>707</v>
      </c>
      <c r="D1115" s="1313" t="s">
        <v>431</v>
      </c>
      <c r="E1115" s="1347" t="s">
        <v>349</v>
      </c>
      <c r="F1115" s="1313" t="s">
        <v>430</v>
      </c>
      <c r="G1115" s="1349">
        <v>9.9339999999999998E-2</v>
      </c>
      <c r="H1115" s="222">
        <f t="shared" si="511"/>
        <v>10910</v>
      </c>
      <c r="I1115" s="1354">
        <v>10910</v>
      </c>
      <c r="J1115" s="1354"/>
      <c r="K1115" s="1354"/>
      <c r="L1115" s="1347" t="s">
        <v>349</v>
      </c>
      <c r="M1115" s="223">
        <f t="shared" si="507"/>
        <v>1083.7993999999999</v>
      </c>
      <c r="N1115" s="224">
        <f t="shared" si="499"/>
        <v>1083.7993999999999</v>
      </c>
      <c r="O1115" s="224">
        <f t="shared" si="500"/>
        <v>0</v>
      </c>
      <c r="P1115" s="224">
        <f t="shared" si="501"/>
        <v>0</v>
      </c>
      <c r="Q1115" s="205"/>
    </row>
    <row r="1116" spans="1:18" ht="13.2" hidden="1" customHeight="1" outlineLevel="1">
      <c r="A1116" s="211" t="s">
        <v>1039</v>
      </c>
      <c r="B1116" s="1356" t="s">
        <v>466</v>
      </c>
      <c r="C1116" s="1334">
        <v>15025</v>
      </c>
      <c r="D1116" s="1313" t="s">
        <v>431</v>
      </c>
      <c r="E1116" s="1357" t="s">
        <v>349</v>
      </c>
      <c r="F1116" s="1317" t="s">
        <v>430</v>
      </c>
      <c r="G1116" s="1348">
        <v>9.9339999999999998E-2</v>
      </c>
      <c r="H1116" s="222">
        <f t="shared" si="511"/>
        <v>1170</v>
      </c>
      <c r="I1116" s="1354">
        <v>1170</v>
      </c>
      <c r="J1116" s="1354"/>
      <c r="K1116" s="1354"/>
      <c r="L1116" s="1347" t="s">
        <v>349</v>
      </c>
      <c r="M1116" s="223">
        <f t="shared" si="507"/>
        <v>116.2278</v>
      </c>
      <c r="N1116" s="224">
        <f t="shared" si="499"/>
        <v>116.2278</v>
      </c>
      <c r="O1116" s="224">
        <f t="shared" si="500"/>
        <v>0</v>
      </c>
      <c r="P1116" s="224">
        <f t="shared" si="501"/>
        <v>0</v>
      </c>
      <c r="Q1116" s="205"/>
    </row>
    <row r="1117" spans="1:18" ht="13.2" hidden="1" customHeight="1" outlineLevel="1">
      <c r="A1117" s="211" t="s">
        <v>1039</v>
      </c>
      <c r="B1117" s="1346" t="s">
        <v>659</v>
      </c>
      <c r="C1117" s="1332">
        <v>51778</v>
      </c>
      <c r="D1117" s="1313" t="s">
        <v>431</v>
      </c>
      <c r="E1117" s="1347" t="s">
        <v>349</v>
      </c>
      <c r="F1117" s="1313" t="s">
        <v>430</v>
      </c>
      <c r="G1117" s="1349">
        <v>9.9339999999999998E-2</v>
      </c>
      <c r="H1117" s="222">
        <f t="shared" si="511"/>
        <v>756</v>
      </c>
      <c r="I1117" s="1354">
        <v>756</v>
      </c>
      <c r="J1117" s="1354"/>
      <c r="K1117" s="1354"/>
      <c r="L1117" s="1347" t="s">
        <v>349</v>
      </c>
      <c r="M1117" s="223">
        <f t="shared" si="507"/>
        <v>75.101039999999998</v>
      </c>
      <c r="N1117" s="224">
        <f t="shared" si="499"/>
        <v>75.101039999999998</v>
      </c>
      <c r="O1117" s="224">
        <f t="shared" si="500"/>
        <v>0</v>
      </c>
      <c r="P1117" s="224">
        <f t="shared" si="501"/>
        <v>0</v>
      </c>
      <c r="Q1117" s="205"/>
    </row>
    <row r="1118" spans="1:18" ht="13.2" hidden="1" customHeight="1" outlineLevel="1">
      <c r="A1118" s="225" t="s">
        <v>1039</v>
      </c>
      <c r="B1118" s="1350" t="s">
        <v>461</v>
      </c>
      <c r="C1118" s="1336">
        <v>60447</v>
      </c>
      <c r="D1118" s="1321" t="s">
        <v>431</v>
      </c>
      <c r="E1118" s="1351" t="s">
        <v>349</v>
      </c>
      <c r="F1118" s="1321" t="s">
        <v>430</v>
      </c>
      <c r="G1118" s="1352">
        <v>9.9339999999999998E-2</v>
      </c>
      <c r="H1118" s="226">
        <f t="shared" si="511"/>
        <v>33490</v>
      </c>
      <c r="I1118" s="1355">
        <v>33490</v>
      </c>
      <c r="J1118" s="1355"/>
      <c r="K1118" s="1355"/>
      <c r="L1118" s="1351" t="s">
        <v>349</v>
      </c>
      <c r="M1118" s="227">
        <f t="shared" si="507"/>
        <v>3326.8966</v>
      </c>
      <c r="N1118" s="228">
        <f t="shared" si="499"/>
        <v>3326.8966</v>
      </c>
      <c r="O1118" s="228">
        <f t="shared" si="500"/>
        <v>0</v>
      </c>
      <c r="P1118" s="228">
        <f t="shared" si="501"/>
        <v>0</v>
      </c>
      <c r="Q1118" s="230"/>
      <c r="R1118" s="512">
        <f>SUM(M1086:M1118)</f>
        <v>14115.17317</v>
      </c>
    </row>
    <row r="1119" spans="1:18" ht="13.2" hidden="1" customHeight="1" outlineLevel="1">
      <c r="A1119" s="775" t="s">
        <v>1039</v>
      </c>
      <c r="B1119" s="1343" t="s">
        <v>408</v>
      </c>
      <c r="C1119" s="1330">
        <v>841</v>
      </c>
      <c r="D1119" s="1309" t="s">
        <v>432</v>
      </c>
      <c r="E1119" s="1344" t="s">
        <v>349</v>
      </c>
      <c r="F1119" s="1309" t="s">
        <v>429</v>
      </c>
      <c r="G1119" s="1345">
        <v>9.3490000000000004E-2</v>
      </c>
      <c r="H1119" s="222">
        <f t="shared" si="511"/>
        <v>185</v>
      </c>
      <c r="I1119" s="1354">
        <v>185</v>
      </c>
      <c r="J1119" s="1354"/>
      <c r="K1119" s="1354"/>
      <c r="L1119" s="1347" t="s">
        <v>349</v>
      </c>
      <c r="M1119" s="223">
        <f t="shared" si="507"/>
        <v>17.295650000000002</v>
      </c>
      <c r="N1119" s="224">
        <f t="shared" si="499"/>
        <v>17.295650000000002</v>
      </c>
      <c r="O1119" s="224">
        <f t="shared" si="500"/>
        <v>0</v>
      </c>
      <c r="P1119" s="224">
        <f t="shared" si="501"/>
        <v>0</v>
      </c>
      <c r="Q1119" s="205"/>
    </row>
    <row r="1120" spans="1:18" ht="13.2" hidden="1" customHeight="1" outlineLevel="1">
      <c r="A1120" s="211" t="s">
        <v>1039</v>
      </c>
      <c r="B1120" s="1346" t="s">
        <v>1259</v>
      </c>
      <c r="C1120" s="1332">
        <v>882</v>
      </c>
      <c r="D1120" s="1313" t="s">
        <v>432</v>
      </c>
      <c r="E1120" s="1347" t="s">
        <v>349</v>
      </c>
      <c r="F1120" s="1313" t="s">
        <v>429</v>
      </c>
      <c r="G1120" s="1349">
        <v>9.3490000000000004E-2</v>
      </c>
      <c r="H1120" s="222">
        <f t="shared" ref="H1120" si="512">SUM(I1120:K1120)</f>
        <v>0</v>
      </c>
      <c r="I1120" s="1354">
        <v>0</v>
      </c>
      <c r="J1120" s="1492"/>
      <c r="K1120" s="1492"/>
      <c r="L1120" s="1357" t="s">
        <v>349</v>
      </c>
      <c r="M1120" s="223">
        <f t="shared" si="507"/>
        <v>0</v>
      </c>
      <c r="N1120" s="224">
        <f t="shared" ref="N1120" si="513">G1120*I1120</f>
        <v>0</v>
      </c>
      <c r="O1120" s="224">
        <f t="shared" ref="O1120" si="514">G1120*J1120*5</f>
        <v>0</v>
      </c>
      <c r="P1120" s="224">
        <f t="shared" ref="P1120" si="515">G1120*K1120*5</f>
        <v>0</v>
      </c>
      <c r="Q1120" s="205"/>
    </row>
    <row r="1121" spans="1:17" ht="13.2" hidden="1" customHeight="1" outlineLevel="1">
      <c r="A1121" s="211" t="s">
        <v>1039</v>
      </c>
      <c r="B1121" s="1346" t="s">
        <v>409</v>
      </c>
      <c r="C1121" s="1332">
        <v>21717</v>
      </c>
      <c r="D1121" s="1313" t="s">
        <v>432</v>
      </c>
      <c r="E1121" s="1347" t="s">
        <v>349</v>
      </c>
      <c r="F1121" s="1313" t="s">
        <v>429</v>
      </c>
      <c r="G1121" s="1349">
        <v>9.3490000000000004E-2</v>
      </c>
      <c r="H1121" s="222">
        <f t="shared" si="511"/>
        <v>1408</v>
      </c>
      <c r="I1121" s="1354">
        <v>1408</v>
      </c>
      <c r="J1121" s="1354"/>
      <c r="K1121" s="1354"/>
      <c r="L1121" s="1347" t="s">
        <v>349</v>
      </c>
      <c r="M1121" s="223">
        <f t="shared" si="507"/>
        <v>131.63392000000002</v>
      </c>
      <c r="N1121" s="224">
        <f t="shared" ref="N1121:N1184" si="516">G1121*I1121</f>
        <v>131.63392000000002</v>
      </c>
      <c r="O1121" s="224">
        <f t="shared" ref="O1121:O1184" si="517">G1121*J1121*5</f>
        <v>0</v>
      </c>
      <c r="P1121" s="224">
        <f t="shared" ref="P1121:P1184" si="518">G1121*K1121*5</f>
        <v>0</v>
      </c>
      <c r="Q1121" s="205"/>
    </row>
    <row r="1122" spans="1:17" ht="13.2" hidden="1" customHeight="1" outlineLevel="1">
      <c r="A1122" s="211" t="s">
        <v>1039</v>
      </c>
      <c r="B1122" s="1346" t="s">
        <v>410</v>
      </c>
      <c r="C1122" s="1332">
        <v>749</v>
      </c>
      <c r="D1122" s="1313" t="s">
        <v>432</v>
      </c>
      <c r="E1122" s="1347" t="s">
        <v>349</v>
      </c>
      <c r="F1122" s="1313" t="s">
        <v>430</v>
      </c>
      <c r="G1122" s="1349">
        <v>9.9339999999999998E-2</v>
      </c>
      <c r="H1122" s="222">
        <f t="shared" si="511"/>
        <v>6434</v>
      </c>
      <c r="I1122" s="1354">
        <v>6434</v>
      </c>
      <c r="J1122" s="1354"/>
      <c r="K1122" s="1354"/>
      <c r="L1122" s="1347" t="s">
        <v>349</v>
      </c>
      <c r="M1122" s="223">
        <f t="shared" si="507"/>
        <v>639.15355999999997</v>
      </c>
      <c r="N1122" s="224">
        <f t="shared" si="516"/>
        <v>639.15355999999997</v>
      </c>
      <c r="O1122" s="224">
        <f t="shared" si="517"/>
        <v>0</v>
      </c>
      <c r="P1122" s="224">
        <f t="shared" si="518"/>
        <v>0</v>
      </c>
      <c r="Q1122" s="205"/>
    </row>
    <row r="1123" spans="1:17" ht="13.2" hidden="1" customHeight="1" outlineLevel="1">
      <c r="A1123" s="211" t="s">
        <v>1039</v>
      </c>
      <c r="B1123" s="1346" t="s">
        <v>411</v>
      </c>
      <c r="C1123" s="1332">
        <v>20044</v>
      </c>
      <c r="D1123" s="1313" t="s">
        <v>432</v>
      </c>
      <c r="E1123" s="1347" t="s">
        <v>349</v>
      </c>
      <c r="F1123" s="1313" t="s">
        <v>430</v>
      </c>
      <c r="G1123" s="1349">
        <v>9.9339999999999998E-2</v>
      </c>
      <c r="H1123" s="222">
        <f t="shared" si="511"/>
        <v>2134</v>
      </c>
      <c r="I1123" s="1354">
        <v>2134</v>
      </c>
      <c r="J1123" s="1354"/>
      <c r="K1123" s="1354"/>
      <c r="L1123" s="1347" t="s">
        <v>349</v>
      </c>
      <c r="M1123" s="223">
        <f t="shared" si="507"/>
        <v>211.99155999999999</v>
      </c>
      <c r="N1123" s="224">
        <f t="shared" si="516"/>
        <v>211.99155999999999</v>
      </c>
      <c r="O1123" s="224">
        <f t="shared" si="517"/>
        <v>0</v>
      </c>
      <c r="P1123" s="224">
        <f t="shared" si="518"/>
        <v>0</v>
      </c>
      <c r="Q1123" s="205"/>
    </row>
    <row r="1124" spans="1:17" ht="13.2" hidden="1" customHeight="1" outlineLevel="1">
      <c r="A1124" s="211" t="s">
        <v>1039</v>
      </c>
      <c r="B1124" s="1346" t="s">
        <v>412</v>
      </c>
      <c r="C1124" s="1332">
        <v>15141</v>
      </c>
      <c r="D1124" s="1313" t="s">
        <v>432</v>
      </c>
      <c r="E1124" s="1347" t="s">
        <v>349</v>
      </c>
      <c r="F1124" s="1313" t="s">
        <v>429</v>
      </c>
      <c r="G1124" s="1349">
        <v>9.3490000000000004E-2</v>
      </c>
      <c r="H1124" s="222">
        <f t="shared" si="511"/>
        <v>563</v>
      </c>
      <c r="I1124" s="1354">
        <v>563</v>
      </c>
      <c r="J1124" s="1354"/>
      <c r="K1124" s="1354"/>
      <c r="L1124" s="1347" t="s">
        <v>349</v>
      </c>
      <c r="M1124" s="223">
        <f t="shared" si="507"/>
        <v>52.634869999999999</v>
      </c>
      <c r="N1124" s="224">
        <f t="shared" si="516"/>
        <v>52.634869999999999</v>
      </c>
      <c r="O1124" s="224">
        <f t="shared" si="517"/>
        <v>0</v>
      </c>
      <c r="P1124" s="224">
        <f t="shared" si="518"/>
        <v>0</v>
      </c>
      <c r="Q1124" s="205"/>
    </row>
    <row r="1125" spans="1:17" ht="13.2" hidden="1" customHeight="1" outlineLevel="1">
      <c r="A1125" s="211" t="s">
        <v>1039</v>
      </c>
      <c r="B1125" s="1346" t="s">
        <v>413</v>
      </c>
      <c r="C1125" s="1332">
        <v>16904</v>
      </c>
      <c r="D1125" s="1313" t="s">
        <v>432</v>
      </c>
      <c r="E1125" s="1347" t="s">
        <v>349</v>
      </c>
      <c r="F1125" s="1313" t="s">
        <v>430</v>
      </c>
      <c r="G1125" s="1349">
        <v>9.9339999999999998E-2</v>
      </c>
      <c r="H1125" s="222">
        <f t="shared" si="511"/>
        <v>2167</v>
      </c>
      <c r="I1125" s="1354">
        <v>2167</v>
      </c>
      <c r="J1125" s="1354"/>
      <c r="K1125" s="1354"/>
      <c r="L1125" s="1347" t="s">
        <v>349</v>
      </c>
      <c r="M1125" s="223">
        <f t="shared" si="507"/>
        <v>215.26978</v>
      </c>
      <c r="N1125" s="224">
        <f t="shared" si="516"/>
        <v>215.26978</v>
      </c>
      <c r="O1125" s="224">
        <f t="shared" si="517"/>
        <v>0</v>
      </c>
      <c r="P1125" s="224">
        <f t="shared" si="518"/>
        <v>0</v>
      </c>
      <c r="Q1125" s="205"/>
    </row>
    <row r="1126" spans="1:17" ht="13.2" hidden="1" customHeight="1" outlineLevel="1">
      <c r="A1126" s="211" t="s">
        <v>1039</v>
      </c>
      <c r="B1126" s="1346" t="s">
        <v>595</v>
      </c>
      <c r="C1126" s="1332">
        <v>891</v>
      </c>
      <c r="D1126" s="1313" t="s">
        <v>432</v>
      </c>
      <c r="E1126" s="1347" t="s">
        <v>349</v>
      </c>
      <c r="F1126" s="1313" t="s">
        <v>429</v>
      </c>
      <c r="G1126" s="1349">
        <v>9.3490000000000004E-2</v>
      </c>
      <c r="H1126" s="222">
        <f t="shared" si="511"/>
        <v>1900</v>
      </c>
      <c r="I1126" s="1354">
        <v>1900</v>
      </c>
      <c r="J1126" s="1354"/>
      <c r="K1126" s="1354"/>
      <c r="L1126" s="1347" t="s">
        <v>349</v>
      </c>
      <c r="M1126" s="223">
        <f t="shared" si="507"/>
        <v>177.631</v>
      </c>
      <c r="N1126" s="224">
        <f t="shared" si="516"/>
        <v>177.631</v>
      </c>
      <c r="O1126" s="224">
        <f t="shared" si="517"/>
        <v>0</v>
      </c>
      <c r="P1126" s="224">
        <f t="shared" si="518"/>
        <v>0</v>
      </c>
      <c r="Q1126" s="205"/>
    </row>
    <row r="1127" spans="1:17" ht="13.2" hidden="1" customHeight="1" outlineLevel="1">
      <c r="A1127" s="211" t="s">
        <v>1039</v>
      </c>
      <c r="B1127" s="1346" t="s">
        <v>606</v>
      </c>
      <c r="C1127" s="1332">
        <v>892</v>
      </c>
      <c r="D1127" s="1313" t="s">
        <v>432</v>
      </c>
      <c r="E1127" s="1347" t="s">
        <v>349</v>
      </c>
      <c r="F1127" s="1313" t="s">
        <v>429</v>
      </c>
      <c r="G1127" s="1349">
        <v>9.3490000000000004E-2</v>
      </c>
      <c r="H1127" s="222">
        <f t="shared" si="511"/>
        <v>6043</v>
      </c>
      <c r="I1127" s="1354">
        <v>6043</v>
      </c>
      <c r="J1127" s="1354"/>
      <c r="K1127" s="1354"/>
      <c r="L1127" s="1347" t="s">
        <v>349</v>
      </c>
      <c r="M1127" s="223">
        <f t="shared" si="507"/>
        <v>564.96006999999997</v>
      </c>
      <c r="N1127" s="224">
        <f t="shared" si="516"/>
        <v>564.96006999999997</v>
      </c>
      <c r="O1127" s="224">
        <f t="shared" si="517"/>
        <v>0</v>
      </c>
      <c r="P1127" s="224">
        <f t="shared" si="518"/>
        <v>0</v>
      </c>
      <c r="Q1127" s="205"/>
    </row>
    <row r="1128" spans="1:17" ht="13.2" hidden="1" customHeight="1" outlineLevel="1">
      <c r="A1128" s="211" t="s">
        <v>1039</v>
      </c>
      <c r="B1128" s="1346" t="s">
        <v>1302</v>
      </c>
      <c r="C1128" s="1332">
        <v>708</v>
      </c>
      <c r="D1128" s="1313" t="s">
        <v>432</v>
      </c>
      <c r="E1128" s="1347" t="s">
        <v>349</v>
      </c>
      <c r="F1128" s="1313" t="s">
        <v>430</v>
      </c>
      <c r="G1128" s="1349">
        <v>9.9339999999999998E-2</v>
      </c>
      <c r="H1128" s="222">
        <f t="shared" si="511"/>
        <v>0</v>
      </c>
      <c r="I1128" s="1354">
        <v>0</v>
      </c>
      <c r="J1128" s="1354"/>
      <c r="K1128" s="1354"/>
      <c r="L1128" s="1347" t="s">
        <v>349</v>
      </c>
      <c r="M1128" s="223">
        <f t="shared" si="507"/>
        <v>0</v>
      </c>
      <c r="N1128" s="224">
        <f t="shared" si="516"/>
        <v>0</v>
      </c>
      <c r="O1128" s="224">
        <f t="shared" si="517"/>
        <v>0</v>
      </c>
      <c r="P1128" s="224">
        <f t="shared" si="518"/>
        <v>0</v>
      </c>
      <c r="Q1128" s="205"/>
    </row>
    <row r="1129" spans="1:17" ht="13.2" hidden="1" customHeight="1" outlineLevel="1">
      <c r="A1129" s="211" t="s">
        <v>1039</v>
      </c>
      <c r="B1129" s="1346" t="s">
        <v>414</v>
      </c>
      <c r="C1129" s="1332">
        <v>16757</v>
      </c>
      <c r="D1129" s="1313" t="s">
        <v>432</v>
      </c>
      <c r="E1129" s="1347" t="s">
        <v>349</v>
      </c>
      <c r="F1129" s="1313" t="s">
        <v>429</v>
      </c>
      <c r="G1129" s="1349">
        <v>9.3490000000000004E-2</v>
      </c>
      <c r="H1129" s="222">
        <f t="shared" si="511"/>
        <v>1340</v>
      </c>
      <c r="I1129" s="1354">
        <v>1340</v>
      </c>
      <c r="J1129" s="1354"/>
      <c r="K1129" s="1354"/>
      <c r="L1129" s="1347" t="s">
        <v>349</v>
      </c>
      <c r="M1129" s="223">
        <f t="shared" si="507"/>
        <v>125.2766</v>
      </c>
      <c r="N1129" s="224">
        <f t="shared" si="516"/>
        <v>125.2766</v>
      </c>
      <c r="O1129" s="224">
        <f t="shared" si="517"/>
        <v>0</v>
      </c>
      <c r="P1129" s="224">
        <f t="shared" si="518"/>
        <v>0</v>
      </c>
      <c r="Q1129" s="205"/>
    </row>
    <row r="1130" spans="1:17" ht="13.2" hidden="1" customHeight="1" outlineLevel="1">
      <c r="A1130" s="211" t="s">
        <v>1039</v>
      </c>
      <c r="B1130" s="1346" t="s">
        <v>596</v>
      </c>
      <c r="C1130" s="1332">
        <v>878</v>
      </c>
      <c r="D1130" s="1313" t="s">
        <v>432</v>
      </c>
      <c r="E1130" s="1347" t="s">
        <v>349</v>
      </c>
      <c r="F1130" s="1313" t="s">
        <v>429</v>
      </c>
      <c r="G1130" s="1349">
        <v>9.3490000000000004E-2</v>
      </c>
      <c r="H1130" s="222">
        <f t="shared" si="511"/>
        <v>7840</v>
      </c>
      <c r="I1130" s="1354">
        <v>7840</v>
      </c>
      <c r="J1130" s="1354"/>
      <c r="K1130" s="1354"/>
      <c r="L1130" s="1347" t="s">
        <v>349</v>
      </c>
      <c r="M1130" s="223">
        <f t="shared" si="507"/>
        <v>732.96159999999998</v>
      </c>
      <c r="N1130" s="224">
        <f t="shared" si="516"/>
        <v>732.96159999999998</v>
      </c>
      <c r="O1130" s="224">
        <f t="shared" si="517"/>
        <v>0</v>
      </c>
      <c r="P1130" s="224">
        <f t="shared" si="518"/>
        <v>0</v>
      </c>
      <c r="Q1130" s="205"/>
    </row>
    <row r="1131" spans="1:17" ht="13.2" hidden="1" customHeight="1" outlineLevel="1">
      <c r="A1131" s="211" t="s">
        <v>1039</v>
      </c>
      <c r="B1131" s="1346" t="s">
        <v>597</v>
      </c>
      <c r="C1131" s="1332">
        <v>879</v>
      </c>
      <c r="D1131" s="1313" t="s">
        <v>432</v>
      </c>
      <c r="E1131" s="1347" t="s">
        <v>349</v>
      </c>
      <c r="F1131" s="1313" t="s">
        <v>429</v>
      </c>
      <c r="G1131" s="1349">
        <v>9.3490000000000004E-2</v>
      </c>
      <c r="H1131" s="222">
        <f t="shared" si="511"/>
        <v>6034</v>
      </c>
      <c r="I1131" s="1354">
        <v>6034</v>
      </c>
      <c r="J1131" s="1354"/>
      <c r="K1131" s="1354"/>
      <c r="L1131" s="1347" t="s">
        <v>349</v>
      </c>
      <c r="M1131" s="223">
        <f t="shared" si="507"/>
        <v>564.11865999999998</v>
      </c>
      <c r="N1131" s="224">
        <f t="shared" si="516"/>
        <v>564.11865999999998</v>
      </c>
      <c r="O1131" s="224">
        <f t="shared" si="517"/>
        <v>0</v>
      </c>
      <c r="P1131" s="224">
        <f t="shared" si="518"/>
        <v>0</v>
      </c>
      <c r="Q1131" s="205"/>
    </row>
    <row r="1132" spans="1:17" ht="13.2" hidden="1" customHeight="1" outlineLevel="1">
      <c r="A1132" s="211" t="s">
        <v>1039</v>
      </c>
      <c r="B1132" s="1346" t="s">
        <v>598</v>
      </c>
      <c r="C1132" s="1332">
        <v>880</v>
      </c>
      <c r="D1132" s="1313" t="s">
        <v>432</v>
      </c>
      <c r="E1132" s="1347" t="s">
        <v>349</v>
      </c>
      <c r="F1132" s="1313" t="s">
        <v>429</v>
      </c>
      <c r="G1132" s="1349">
        <v>9.3490000000000004E-2</v>
      </c>
      <c r="H1132" s="222">
        <f t="shared" si="511"/>
        <v>2004</v>
      </c>
      <c r="I1132" s="1354">
        <v>2004</v>
      </c>
      <c r="J1132" s="1354"/>
      <c r="K1132" s="1354"/>
      <c r="L1132" s="1347" t="s">
        <v>349</v>
      </c>
      <c r="M1132" s="223">
        <f t="shared" si="507"/>
        <v>187.35396</v>
      </c>
      <c r="N1132" s="224">
        <f t="shared" si="516"/>
        <v>187.35396</v>
      </c>
      <c r="O1132" s="224">
        <f t="shared" si="517"/>
        <v>0</v>
      </c>
      <c r="P1132" s="224">
        <f t="shared" si="518"/>
        <v>0</v>
      </c>
      <c r="Q1132" s="205"/>
    </row>
    <row r="1133" spans="1:17" ht="13.2" hidden="1" customHeight="1" outlineLevel="1">
      <c r="A1133" s="211" t="s">
        <v>1039</v>
      </c>
      <c r="B1133" s="1346" t="s">
        <v>599</v>
      </c>
      <c r="C1133" s="1332">
        <v>4650</v>
      </c>
      <c r="D1133" s="1313" t="s">
        <v>432</v>
      </c>
      <c r="E1133" s="1347" t="s">
        <v>349</v>
      </c>
      <c r="F1133" s="1313" t="s">
        <v>429</v>
      </c>
      <c r="G1133" s="1349">
        <v>9.3490000000000004E-2</v>
      </c>
      <c r="H1133" s="222">
        <f t="shared" si="511"/>
        <v>7840</v>
      </c>
      <c r="I1133" s="1354">
        <v>7840</v>
      </c>
      <c r="J1133" s="1354"/>
      <c r="K1133" s="1354"/>
      <c r="L1133" s="1347" t="s">
        <v>349</v>
      </c>
      <c r="M1133" s="223">
        <f t="shared" si="507"/>
        <v>732.96159999999998</v>
      </c>
      <c r="N1133" s="224">
        <f t="shared" si="516"/>
        <v>732.96159999999998</v>
      </c>
      <c r="O1133" s="224">
        <f t="shared" si="517"/>
        <v>0</v>
      </c>
      <c r="P1133" s="224">
        <f t="shared" si="518"/>
        <v>0</v>
      </c>
      <c r="Q1133" s="205"/>
    </row>
    <row r="1134" spans="1:17" ht="13.2" hidden="1" customHeight="1" outlineLevel="1">
      <c r="A1134" s="211" t="s">
        <v>1039</v>
      </c>
      <c r="B1134" s="1346" t="s">
        <v>1303</v>
      </c>
      <c r="C1134" s="1332">
        <v>14114</v>
      </c>
      <c r="D1134" s="1313" t="s">
        <v>432</v>
      </c>
      <c r="E1134" s="1347" t="s">
        <v>349</v>
      </c>
      <c r="F1134" s="1313" t="s">
        <v>430</v>
      </c>
      <c r="G1134" s="1349">
        <v>9.9339999999999998E-2</v>
      </c>
      <c r="H1134" s="222">
        <f t="shared" si="511"/>
        <v>7728</v>
      </c>
      <c r="I1134" s="1354">
        <v>7728</v>
      </c>
      <c r="J1134" s="1354"/>
      <c r="K1134" s="1354"/>
      <c r="L1134" s="1347" t="s">
        <v>349</v>
      </c>
      <c r="M1134" s="223">
        <f t="shared" si="507"/>
        <v>767.69952000000001</v>
      </c>
      <c r="N1134" s="224">
        <f t="shared" si="516"/>
        <v>767.69952000000001</v>
      </c>
      <c r="O1134" s="224">
        <f t="shared" si="517"/>
        <v>0</v>
      </c>
      <c r="P1134" s="224">
        <f t="shared" si="518"/>
        <v>0</v>
      </c>
      <c r="Q1134" s="205"/>
    </row>
    <row r="1135" spans="1:17" ht="13.2" hidden="1" customHeight="1" outlineLevel="1">
      <c r="A1135" s="211" t="s">
        <v>1039</v>
      </c>
      <c r="B1135" s="1346" t="s">
        <v>1303</v>
      </c>
      <c r="C1135" s="1332">
        <v>14114</v>
      </c>
      <c r="D1135" s="1313" t="s">
        <v>432</v>
      </c>
      <c r="E1135" s="1347" t="s">
        <v>349</v>
      </c>
      <c r="F1135" s="1313" t="s">
        <v>430</v>
      </c>
      <c r="G1135" s="1349">
        <v>0.18418000000000001</v>
      </c>
      <c r="H1135" s="222">
        <f t="shared" si="511"/>
        <v>5836</v>
      </c>
      <c r="I1135" s="1354">
        <v>5836</v>
      </c>
      <c r="J1135" s="1354"/>
      <c r="K1135" s="1354"/>
      <c r="L1135" s="1347" t="s">
        <v>349</v>
      </c>
      <c r="M1135" s="223">
        <f t="shared" si="507"/>
        <v>1074.8744799999999</v>
      </c>
      <c r="N1135" s="224">
        <f t="shared" si="516"/>
        <v>1074.8744799999999</v>
      </c>
      <c r="O1135" s="224">
        <f t="shared" si="517"/>
        <v>0</v>
      </c>
      <c r="P1135" s="224">
        <f t="shared" si="518"/>
        <v>0</v>
      </c>
      <c r="Q1135" s="205"/>
    </row>
    <row r="1136" spans="1:17" ht="13.2" hidden="1" customHeight="1" outlineLevel="1">
      <c r="A1136" s="211" t="s">
        <v>1039</v>
      </c>
      <c r="B1136" s="1346" t="s">
        <v>600</v>
      </c>
      <c r="C1136" s="1332">
        <v>969</v>
      </c>
      <c r="D1136" s="1313" t="s">
        <v>432</v>
      </c>
      <c r="E1136" s="1347" t="s">
        <v>349</v>
      </c>
      <c r="F1136" s="1313" t="s">
        <v>429</v>
      </c>
      <c r="G1136" s="1349">
        <v>9.3490000000000004E-2</v>
      </c>
      <c r="H1136" s="222">
        <f t="shared" si="511"/>
        <v>8762</v>
      </c>
      <c r="I1136" s="1354">
        <v>8762</v>
      </c>
      <c r="J1136" s="1354"/>
      <c r="K1136" s="1354"/>
      <c r="L1136" s="1347" t="s">
        <v>349</v>
      </c>
      <c r="M1136" s="223">
        <f t="shared" si="507"/>
        <v>819.15938000000006</v>
      </c>
      <c r="N1136" s="224">
        <f t="shared" si="516"/>
        <v>819.15938000000006</v>
      </c>
      <c r="O1136" s="224">
        <f t="shared" si="517"/>
        <v>0</v>
      </c>
      <c r="P1136" s="224">
        <f t="shared" si="518"/>
        <v>0</v>
      </c>
      <c r="Q1136" s="205"/>
    </row>
    <row r="1137" spans="1:18" ht="13.2" hidden="1" customHeight="1" outlineLevel="1">
      <c r="A1137" s="211" t="s">
        <v>1039</v>
      </c>
      <c r="B1137" s="1346" t="s">
        <v>601</v>
      </c>
      <c r="C1137" s="1332">
        <v>1003</v>
      </c>
      <c r="D1137" s="1313" t="s">
        <v>432</v>
      </c>
      <c r="E1137" s="1347" t="s">
        <v>349</v>
      </c>
      <c r="F1137" s="1313" t="s">
        <v>430</v>
      </c>
      <c r="G1137" s="1349">
        <v>9.9339999999999998E-2</v>
      </c>
      <c r="H1137" s="222">
        <f t="shared" si="511"/>
        <v>5104</v>
      </c>
      <c r="I1137" s="1354">
        <v>5104</v>
      </c>
      <c r="J1137" s="1354"/>
      <c r="K1137" s="1354"/>
      <c r="L1137" s="1347" t="s">
        <v>349</v>
      </c>
      <c r="M1137" s="223">
        <f t="shared" si="507"/>
        <v>507.03136000000001</v>
      </c>
      <c r="N1137" s="224">
        <f t="shared" si="516"/>
        <v>507.03136000000001</v>
      </c>
      <c r="O1137" s="224">
        <f t="shared" si="517"/>
        <v>0</v>
      </c>
      <c r="P1137" s="224">
        <f t="shared" si="518"/>
        <v>0</v>
      </c>
      <c r="Q1137" s="205"/>
    </row>
    <row r="1138" spans="1:18" ht="13.2" hidden="1" customHeight="1" outlineLevel="1">
      <c r="A1138" s="211" t="s">
        <v>1039</v>
      </c>
      <c r="B1138" s="1346" t="s">
        <v>416</v>
      </c>
      <c r="C1138" s="1332">
        <v>881</v>
      </c>
      <c r="D1138" s="1313" t="s">
        <v>432</v>
      </c>
      <c r="E1138" s="1347" t="s">
        <v>349</v>
      </c>
      <c r="F1138" s="1313" t="s">
        <v>429</v>
      </c>
      <c r="G1138" s="1349">
        <v>9.3490000000000004E-2</v>
      </c>
      <c r="H1138" s="222">
        <f t="shared" ref="H1138:H1158" si="519">SUM(I1138:K1138)</f>
        <v>962</v>
      </c>
      <c r="I1138" s="1354">
        <v>962</v>
      </c>
      <c r="J1138" s="1354"/>
      <c r="K1138" s="1354"/>
      <c r="L1138" s="1347" t="s">
        <v>349</v>
      </c>
      <c r="M1138" s="223">
        <f t="shared" si="507"/>
        <v>89.937380000000005</v>
      </c>
      <c r="N1138" s="224">
        <f t="shared" si="516"/>
        <v>89.937380000000005</v>
      </c>
      <c r="O1138" s="224">
        <f t="shared" si="517"/>
        <v>0</v>
      </c>
      <c r="P1138" s="224">
        <f t="shared" si="518"/>
        <v>0</v>
      </c>
      <c r="Q1138" s="205"/>
    </row>
    <row r="1139" spans="1:18" ht="13.2" hidden="1" customHeight="1" outlineLevel="1">
      <c r="A1139" s="211" t="s">
        <v>1039</v>
      </c>
      <c r="B1139" s="1346" t="s">
        <v>417</v>
      </c>
      <c r="C1139" s="1332">
        <v>832</v>
      </c>
      <c r="D1139" s="1313" t="s">
        <v>432</v>
      </c>
      <c r="E1139" s="1347" t="s">
        <v>349</v>
      </c>
      <c r="F1139" s="1313" t="s">
        <v>429</v>
      </c>
      <c r="G1139" s="1349">
        <v>9.3490000000000004E-2</v>
      </c>
      <c r="H1139" s="222">
        <f t="shared" si="519"/>
        <v>304</v>
      </c>
      <c r="I1139" s="1354">
        <v>304</v>
      </c>
      <c r="J1139" s="1354"/>
      <c r="K1139" s="1354"/>
      <c r="L1139" s="1347" t="s">
        <v>349</v>
      </c>
      <c r="M1139" s="223">
        <f t="shared" si="507"/>
        <v>28.420960000000001</v>
      </c>
      <c r="N1139" s="224">
        <f t="shared" si="516"/>
        <v>28.420960000000001</v>
      </c>
      <c r="O1139" s="224">
        <f t="shared" si="517"/>
        <v>0</v>
      </c>
      <c r="P1139" s="224">
        <f t="shared" si="518"/>
        <v>0</v>
      </c>
      <c r="Q1139" s="205"/>
    </row>
    <row r="1140" spans="1:18" ht="13.2" hidden="1" customHeight="1" outlineLevel="1">
      <c r="A1140" s="211" t="s">
        <v>1039</v>
      </c>
      <c r="B1140" s="1346" t="s">
        <v>418</v>
      </c>
      <c r="C1140" s="1332">
        <v>1138</v>
      </c>
      <c r="D1140" s="1313" t="s">
        <v>432</v>
      </c>
      <c r="E1140" s="1347" t="s">
        <v>349</v>
      </c>
      <c r="F1140" s="1313" t="s">
        <v>430</v>
      </c>
      <c r="G1140" s="1349">
        <v>9.9339999999999998E-2</v>
      </c>
      <c r="H1140" s="222">
        <f t="shared" si="519"/>
        <v>10734</v>
      </c>
      <c r="I1140" s="1354">
        <v>10734</v>
      </c>
      <c r="J1140" s="1354"/>
      <c r="K1140" s="1354"/>
      <c r="L1140" s="1347" t="s">
        <v>349</v>
      </c>
      <c r="M1140" s="223">
        <f t="shared" si="507"/>
        <v>1066.31556</v>
      </c>
      <c r="N1140" s="224">
        <f t="shared" si="516"/>
        <v>1066.31556</v>
      </c>
      <c r="O1140" s="224">
        <f t="shared" si="517"/>
        <v>0</v>
      </c>
      <c r="P1140" s="224">
        <f t="shared" si="518"/>
        <v>0</v>
      </c>
      <c r="Q1140" s="205"/>
    </row>
    <row r="1141" spans="1:18" ht="13.2" hidden="1" customHeight="1" outlineLevel="1">
      <c r="A1141" s="211" t="s">
        <v>1039</v>
      </c>
      <c r="B1141" s="1346" t="s">
        <v>419</v>
      </c>
      <c r="C1141" s="1332">
        <v>1010</v>
      </c>
      <c r="D1141" s="1313" t="s">
        <v>432</v>
      </c>
      <c r="E1141" s="1347" t="s">
        <v>349</v>
      </c>
      <c r="F1141" s="1313" t="s">
        <v>430</v>
      </c>
      <c r="G1141" s="1349">
        <v>9.9339999999999998E-2</v>
      </c>
      <c r="H1141" s="222">
        <f t="shared" si="519"/>
        <v>0</v>
      </c>
      <c r="I1141" s="1354">
        <v>0</v>
      </c>
      <c r="J1141" s="1354"/>
      <c r="K1141" s="1354"/>
      <c r="L1141" s="1347" t="s">
        <v>349</v>
      </c>
      <c r="M1141" s="223">
        <f t="shared" si="507"/>
        <v>0</v>
      </c>
      <c r="N1141" s="224">
        <f t="shared" si="516"/>
        <v>0</v>
      </c>
      <c r="O1141" s="224">
        <f t="shared" si="517"/>
        <v>0</v>
      </c>
      <c r="P1141" s="224">
        <f t="shared" si="518"/>
        <v>0</v>
      </c>
      <c r="Q1141" s="205"/>
    </row>
    <row r="1142" spans="1:18" ht="13.2" hidden="1" customHeight="1" outlineLevel="1">
      <c r="A1142" s="211" t="s">
        <v>1039</v>
      </c>
      <c r="B1142" s="1346" t="s">
        <v>420</v>
      </c>
      <c r="C1142" s="1332">
        <v>16476</v>
      </c>
      <c r="D1142" s="1313" t="s">
        <v>432</v>
      </c>
      <c r="E1142" s="1347" t="s">
        <v>349</v>
      </c>
      <c r="F1142" s="1313" t="s">
        <v>430</v>
      </c>
      <c r="G1142" s="1349">
        <v>9.9339999999999998E-2</v>
      </c>
      <c r="H1142" s="222">
        <f t="shared" si="519"/>
        <v>350</v>
      </c>
      <c r="I1142" s="1354">
        <v>350</v>
      </c>
      <c r="J1142" s="1354"/>
      <c r="K1142" s="1354"/>
      <c r="L1142" s="1347" t="s">
        <v>349</v>
      </c>
      <c r="M1142" s="223">
        <f t="shared" si="507"/>
        <v>34.768999999999998</v>
      </c>
      <c r="N1142" s="224">
        <f t="shared" si="516"/>
        <v>34.768999999999998</v>
      </c>
      <c r="O1142" s="224">
        <f t="shared" si="517"/>
        <v>0</v>
      </c>
      <c r="P1142" s="224">
        <f t="shared" si="518"/>
        <v>0</v>
      </c>
      <c r="Q1142" s="205"/>
    </row>
    <row r="1143" spans="1:18" ht="13.2" hidden="1" customHeight="1" outlineLevel="1">
      <c r="A1143" s="211" t="s">
        <v>1039</v>
      </c>
      <c r="B1143" s="1346" t="s">
        <v>602</v>
      </c>
      <c r="C1143" s="1332">
        <v>965</v>
      </c>
      <c r="D1143" s="1313" t="s">
        <v>432</v>
      </c>
      <c r="E1143" s="1347" t="s">
        <v>349</v>
      </c>
      <c r="F1143" s="1313" t="s">
        <v>429</v>
      </c>
      <c r="G1143" s="1349">
        <v>9.3490000000000004E-2</v>
      </c>
      <c r="H1143" s="222">
        <f t="shared" si="519"/>
        <v>1373</v>
      </c>
      <c r="I1143" s="1354">
        <v>1373</v>
      </c>
      <c r="J1143" s="1354"/>
      <c r="K1143" s="1354"/>
      <c r="L1143" s="1347" t="s">
        <v>349</v>
      </c>
      <c r="M1143" s="223">
        <f t="shared" si="507"/>
        <v>128.36177000000001</v>
      </c>
      <c r="N1143" s="224">
        <f t="shared" si="516"/>
        <v>128.36177000000001</v>
      </c>
      <c r="O1143" s="224">
        <f t="shared" si="517"/>
        <v>0</v>
      </c>
      <c r="P1143" s="224">
        <f t="shared" si="518"/>
        <v>0</v>
      </c>
      <c r="Q1143" s="205"/>
    </row>
    <row r="1144" spans="1:18" ht="13.2" hidden="1" customHeight="1" outlineLevel="1">
      <c r="A1144" s="211" t="s">
        <v>1039</v>
      </c>
      <c r="B1144" s="1346" t="s">
        <v>603</v>
      </c>
      <c r="C1144" s="1332">
        <v>968</v>
      </c>
      <c r="D1144" s="1313" t="s">
        <v>432</v>
      </c>
      <c r="E1144" s="1347" t="s">
        <v>349</v>
      </c>
      <c r="F1144" s="1313" t="s">
        <v>429</v>
      </c>
      <c r="G1144" s="1349">
        <v>9.3490000000000004E-2</v>
      </c>
      <c r="H1144" s="222">
        <f t="shared" si="519"/>
        <v>1433</v>
      </c>
      <c r="I1144" s="1354">
        <v>1433</v>
      </c>
      <c r="J1144" s="1354"/>
      <c r="K1144" s="1354"/>
      <c r="L1144" s="1347" t="s">
        <v>349</v>
      </c>
      <c r="M1144" s="223">
        <f t="shared" si="507"/>
        <v>133.97117</v>
      </c>
      <c r="N1144" s="224">
        <f t="shared" si="516"/>
        <v>133.97117</v>
      </c>
      <c r="O1144" s="224">
        <f t="shared" si="517"/>
        <v>0</v>
      </c>
      <c r="P1144" s="224">
        <f t="shared" si="518"/>
        <v>0</v>
      </c>
      <c r="Q1144" s="205"/>
    </row>
    <row r="1145" spans="1:18" ht="13.2" hidden="1" customHeight="1" outlineLevel="1">
      <c r="A1145" s="211" t="s">
        <v>1039</v>
      </c>
      <c r="B1145" s="1346" t="s">
        <v>421</v>
      </c>
      <c r="C1145" s="1332">
        <v>964</v>
      </c>
      <c r="D1145" s="1313" t="s">
        <v>432</v>
      </c>
      <c r="E1145" s="1347" t="s">
        <v>349</v>
      </c>
      <c r="F1145" s="1313" t="s">
        <v>429</v>
      </c>
      <c r="G1145" s="1349">
        <v>9.3490000000000004E-2</v>
      </c>
      <c r="H1145" s="222">
        <f t="shared" si="519"/>
        <v>98</v>
      </c>
      <c r="I1145" s="1354">
        <v>98</v>
      </c>
      <c r="J1145" s="1354"/>
      <c r="K1145" s="1354"/>
      <c r="L1145" s="1347" t="s">
        <v>349</v>
      </c>
      <c r="M1145" s="223">
        <f t="shared" si="507"/>
        <v>9.1620200000000001</v>
      </c>
      <c r="N1145" s="224">
        <f t="shared" si="516"/>
        <v>9.1620200000000001</v>
      </c>
      <c r="O1145" s="224">
        <f t="shared" si="517"/>
        <v>0</v>
      </c>
      <c r="P1145" s="224">
        <f t="shared" si="518"/>
        <v>0</v>
      </c>
      <c r="Q1145" s="205"/>
    </row>
    <row r="1146" spans="1:18" ht="13.2" hidden="1" customHeight="1" outlineLevel="1">
      <c r="A1146" s="211" t="s">
        <v>1039</v>
      </c>
      <c r="B1146" s="1346" t="s">
        <v>422</v>
      </c>
      <c r="C1146" s="1332">
        <v>16477</v>
      </c>
      <c r="D1146" s="1313" t="s">
        <v>432</v>
      </c>
      <c r="E1146" s="1347" t="s">
        <v>349</v>
      </c>
      <c r="F1146" s="1313" t="s">
        <v>430</v>
      </c>
      <c r="G1146" s="1349">
        <v>9.9339999999999998E-2</v>
      </c>
      <c r="H1146" s="222">
        <f t="shared" si="519"/>
        <v>93</v>
      </c>
      <c r="I1146" s="1354">
        <v>93</v>
      </c>
      <c r="J1146" s="1354"/>
      <c r="K1146" s="1354"/>
      <c r="L1146" s="1347" t="s">
        <v>349</v>
      </c>
      <c r="M1146" s="223">
        <f t="shared" si="507"/>
        <v>9.2386199999999992</v>
      </c>
      <c r="N1146" s="224">
        <f t="shared" si="516"/>
        <v>9.2386199999999992</v>
      </c>
      <c r="O1146" s="224">
        <f t="shared" si="517"/>
        <v>0</v>
      </c>
      <c r="P1146" s="224">
        <f t="shared" si="518"/>
        <v>0</v>
      </c>
      <c r="Q1146" s="205"/>
    </row>
    <row r="1147" spans="1:18" ht="13.2" hidden="1" customHeight="1" outlineLevel="1">
      <c r="A1147" s="211" t="s">
        <v>1039</v>
      </c>
      <c r="B1147" s="1346" t="s">
        <v>423</v>
      </c>
      <c r="C1147" s="1332">
        <v>703</v>
      </c>
      <c r="D1147" s="1313" t="s">
        <v>432</v>
      </c>
      <c r="E1147" s="1347" t="s">
        <v>349</v>
      </c>
      <c r="F1147" s="1313" t="s">
        <v>430</v>
      </c>
      <c r="G1147" s="1349">
        <v>9.9339999999999998E-2</v>
      </c>
      <c r="H1147" s="222">
        <f t="shared" si="519"/>
        <v>1935</v>
      </c>
      <c r="I1147" s="1354">
        <v>1935</v>
      </c>
      <c r="J1147" s="1354"/>
      <c r="K1147" s="1354"/>
      <c r="L1147" s="1347" t="s">
        <v>349</v>
      </c>
      <c r="M1147" s="223">
        <f t="shared" si="507"/>
        <v>192.22289999999998</v>
      </c>
      <c r="N1147" s="224">
        <f t="shared" si="516"/>
        <v>192.22289999999998</v>
      </c>
      <c r="O1147" s="224">
        <f t="shared" si="517"/>
        <v>0</v>
      </c>
      <c r="P1147" s="224">
        <f t="shared" si="518"/>
        <v>0</v>
      </c>
      <c r="Q1147" s="205"/>
    </row>
    <row r="1148" spans="1:18" ht="13.2" hidden="1" customHeight="1" outlineLevel="1">
      <c r="A1148" s="211" t="s">
        <v>1039</v>
      </c>
      <c r="B1148" s="1346" t="s">
        <v>604</v>
      </c>
      <c r="C1148" s="1332">
        <v>707</v>
      </c>
      <c r="D1148" s="1313" t="s">
        <v>432</v>
      </c>
      <c r="E1148" s="1347" t="s">
        <v>349</v>
      </c>
      <c r="F1148" s="1313" t="s">
        <v>430</v>
      </c>
      <c r="G1148" s="1349">
        <v>9.9339999999999998E-2</v>
      </c>
      <c r="H1148" s="222">
        <f t="shared" si="519"/>
        <v>9652</v>
      </c>
      <c r="I1148" s="1354">
        <v>9652</v>
      </c>
      <c r="J1148" s="1354"/>
      <c r="K1148" s="1354"/>
      <c r="L1148" s="1347" t="s">
        <v>349</v>
      </c>
      <c r="M1148" s="223">
        <f t="shared" ref="M1148:M1178" si="520">SUM(N1148:P1148)</f>
        <v>958.82967999999994</v>
      </c>
      <c r="N1148" s="224">
        <f t="shared" si="516"/>
        <v>958.82967999999994</v>
      </c>
      <c r="O1148" s="224">
        <f t="shared" si="517"/>
        <v>0</v>
      </c>
      <c r="P1148" s="224">
        <f t="shared" si="518"/>
        <v>0</v>
      </c>
      <c r="Q1148" s="205"/>
    </row>
    <row r="1149" spans="1:18" ht="13.2" hidden="1" customHeight="1" outlineLevel="1">
      <c r="A1149" s="211" t="s">
        <v>1039</v>
      </c>
      <c r="B1149" s="1356" t="s">
        <v>466</v>
      </c>
      <c r="C1149" s="1334">
        <v>15025</v>
      </c>
      <c r="D1149" s="1313" t="s">
        <v>432</v>
      </c>
      <c r="E1149" s="1357" t="s">
        <v>349</v>
      </c>
      <c r="F1149" s="1317" t="s">
        <v>430</v>
      </c>
      <c r="G1149" s="1348">
        <v>9.9339999999999998E-2</v>
      </c>
      <c r="H1149" s="222">
        <f t="shared" si="519"/>
        <v>1649</v>
      </c>
      <c r="I1149" s="1354">
        <v>1649</v>
      </c>
      <c r="J1149" s="1354"/>
      <c r="K1149" s="1354"/>
      <c r="L1149" s="1347" t="s">
        <v>349</v>
      </c>
      <c r="M1149" s="223">
        <f t="shared" si="520"/>
        <v>163.81165999999999</v>
      </c>
      <c r="N1149" s="224">
        <f t="shared" si="516"/>
        <v>163.81165999999999</v>
      </c>
      <c r="O1149" s="224">
        <f t="shared" si="517"/>
        <v>0</v>
      </c>
      <c r="P1149" s="224">
        <f t="shared" si="518"/>
        <v>0</v>
      </c>
      <c r="Q1149" s="205"/>
    </row>
    <row r="1150" spans="1:18" ht="13.2" hidden="1" customHeight="1" outlineLevel="1">
      <c r="A1150" s="211" t="s">
        <v>1039</v>
      </c>
      <c r="B1150" s="1346" t="s">
        <v>659</v>
      </c>
      <c r="C1150" s="1332">
        <v>51778</v>
      </c>
      <c r="D1150" s="1313" t="s">
        <v>432</v>
      </c>
      <c r="E1150" s="1347" t="s">
        <v>349</v>
      </c>
      <c r="F1150" s="1313" t="s">
        <v>430</v>
      </c>
      <c r="G1150" s="1349">
        <v>9.9339999999999998E-2</v>
      </c>
      <c r="H1150" s="222">
        <f t="shared" si="519"/>
        <v>722</v>
      </c>
      <c r="I1150" s="1354">
        <v>722</v>
      </c>
      <c r="J1150" s="1354"/>
      <c r="K1150" s="1354"/>
      <c r="L1150" s="1347" t="s">
        <v>349</v>
      </c>
      <c r="M1150" s="223">
        <f t="shared" si="520"/>
        <v>71.723479999999995</v>
      </c>
      <c r="N1150" s="224">
        <f t="shared" si="516"/>
        <v>71.723479999999995</v>
      </c>
      <c r="O1150" s="224">
        <f t="shared" si="517"/>
        <v>0</v>
      </c>
      <c r="P1150" s="224">
        <f t="shared" si="518"/>
        <v>0</v>
      </c>
      <c r="Q1150" s="205"/>
    </row>
    <row r="1151" spans="1:18" ht="13.2" hidden="1" customHeight="1" outlineLevel="1">
      <c r="A1151" s="225" t="s">
        <v>1039</v>
      </c>
      <c r="B1151" s="1350" t="s">
        <v>461</v>
      </c>
      <c r="C1151" s="1336">
        <v>60447</v>
      </c>
      <c r="D1151" s="1321" t="s">
        <v>432</v>
      </c>
      <c r="E1151" s="1351" t="s">
        <v>349</v>
      </c>
      <c r="F1151" s="1321" t="s">
        <v>430</v>
      </c>
      <c r="G1151" s="1352">
        <v>9.9339999999999998E-2</v>
      </c>
      <c r="H1151" s="226">
        <f t="shared" si="519"/>
        <v>33858</v>
      </c>
      <c r="I1151" s="1355">
        <v>33858</v>
      </c>
      <c r="J1151" s="1355"/>
      <c r="K1151" s="1355"/>
      <c r="L1151" s="1351" t="s">
        <v>349</v>
      </c>
      <c r="M1151" s="227">
        <f t="shared" si="520"/>
        <v>3363.45372</v>
      </c>
      <c r="N1151" s="228">
        <f t="shared" si="516"/>
        <v>3363.45372</v>
      </c>
      <c r="O1151" s="228">
        <f t="shared" si="517"/>
        <v>0</v>
      </c>
      <c r="P1151" s="228">
        <f t="shared" si="518"/>
        <v>0</v>
      </c>
      <c r="Q1151" s="230"/>
      <c r="R1151" s="512">
        <f>SUM(M1119:M1151)</f>
        <v>13772.225490000001</v>
      </c>
    </row>
    <row r="1152" spans="1:18" ht="13.2" hidden="1" customHeight="1" outlineLevel="1">
      <c r="A1152" s="211" t="s">
        <v>1039</v>
      </c>
      <c r="B1152" s="1343" t="s">
        <v>408</v>
      </c>
      <c r="C1152" s="1330">
        <v>841</v>
      </c>
      <c r="D1152" s="1309" t="s">
        <v>433</v>
      </c>
      <c r="E1152" s="1344" t="s">
        <v>349</v>
      </c>
      <c r="F1152" s="1309" t="s">
        <v>429</v>
      </c>
      <c r="G1152" s="1345">
        <v>9.3490000000000004E-2</v>
      </c>
      <c r="H1152" s="222">
        <f t="shared" si="519"/>
        <v>170</v>
      </c>
      <c r="I1152" s="1354">
        <v>170</v>
      </c>
      <c r="J1152" s="1358"/>
      <c r="K1152" s="1358"/>
      <c r="L1152" s="1357" t="s">
        <v>349</v>
      </c>
      <c r="M1152" s="223">
        <f t="shared" si="520"/>
        <v>15.8933</v>
      </c>
      <c r="N1152" s="224">
        <f t="shared" si="516"/>
        <v>15.8933</v>
      </c>
      <c r="O1152" s="224">
        <f t="shared" si="517"/>
        <v>0</v>
      </c>
      <c r="P1152" s="224">
        <f t="shared" si="518"/>
        <v>0</v>
      </c>
      <c r="Q1152" s="205"/>
    </row>
    <row r="1153" spans="1:17" ht="13.2" hidden="1" customHeight="1" outlineLevel="1">
      <c r="A1153" s="211" t="s">
        <v>1039</v>
      </c>
      <c r="B1153" s="1346" t="s">
        <v>1259</v>
      </c>
      <c r="C1153" s="1332">
        <v>882</v>
      </c>
      <c r="D1153" s="1317" t="s">
        <v>433</v>
      </c>
      <c r="E1153" s="1347" t="s">
        <v>349</v>
      </c>
      <c r="F1153" s="1313" t="s">
        <v>429</v>
      </c>
      <c r="G1153" s="1349">
        <v>9.3490000000000004E-2</v>
      </c>
      <c r="H1153" s="222">
        <f t="shared" si="519"/>
        <v>0</v>
      </c>
      <c r="I1153" s="1354">
        <v>0</v>
      </c>
      <c r="J1153" s="1358"/>
      <c r="K1153" s="1358"/>
      <c r="L1153" s="1357" t="s">
        <v>349</v>
      </c>
      <c r="M1153" s="223">
        <f t="shared" ref="M1153" si="521">SUM(N1153:P1153)</f>
        <v>0</v>
      </c>
      <c r="N1153" s="224">
        <f t="shared" ref="N1153" si="522">G1153*I1153</f>
        <v>0</v>
      </c>
      <c r="O1153" s="224">
        <f t="shared" ref="O1153" si="523">G1153*J1153*5</f>
        <v>0</v>
      </c>
      <c r="P1153" s="224">
        <f t="shared" ref="P1153" si="524">G1153*K1153*5</f>
        <v>0</v>
      </c>
      <c r="Q1153" s="205"/>
    </row>
    <row r="1154" spans="1:17" ht="13.2" hidden="1" customHeight="1" outlineLevel="1">
      <c r="A1154" s="211" t="s">
        <v>1039</v>
      </c>
      <c r="B1154" s="1346" t="s">
        <v>409</v>
      </c>
      <c r="C1154" s="1332">
        <v>21717</v>
      </c>
      <c r="D1154" s="1317" t="s">
        <v>433</v>
      </c>
      <c r="E1154" s="1347" t="s">
        <v>349</v>
      </c>
      <c r="F1154" s="1313" t="s">
        <v>429</v>
      </c>
      <c r="G1154" s="1349">
        <v>9.3490000000000004E-2</v>
      </c>
      <c r="H1154" s="222">
        <f t="shared" si="519"/>
        <v>843</v>
      </c>
      <c r="I1154" s="1354">
        <v>843</v>
      </c>
      <c r="J1154" s="1358"/>
      <c r="K1154" s="1358"/>
      <c r="L1154" s="1357" t="s">
        <v>349</v>
      </c>
      <c r="M1154" s="223">
        <f t="shared" si="520"/>
        <v>78.812070000000006</v>
      </c>
      <c r="N1154" s="224">
        <f t="shared" si="516"/>
        <v>78.812070000000006</v>
      </c>
      <c r="O1154" s="224">
        <f t="shared" si="517"/>
        <v>0</v>
      </c>
      <c r="P1154" s="224">
        <f t="shared" si="518"/>
        <v>0</v>
      </c>
      <c r="Q1154" s="292"/>
    </row>
    <row r="1155" spans="1:17" ht="13.2" hidden="1" customHeight="1" outlineLevel="1">
      <c r="A1155" s="211" t="s">
        <v>1039</v>
      </c>
      <c r="B1155" s="1346" t="s">
        <v>410</v>
      </c>
      <c r="C1155" s="1332">
        <v>749</v>
      </c>
      <c r="D1155" s="1317" t="s">
        <v>433</v>
      </c>
      <c r="E1155" s="1347" t="s">
        <v>349</v>
      </c>
      <c r="F1155" s="1313" t="s">
        <v>430</v>
      </c>
      <c r="G1155" s="1349">
        <v>9.9339999999999998E-2</v>
      </c>
      <c r="H1155" s="222">
        <f t="shared" si="519"/>
        <v>8898</v>
      </c>
      <c r="I1155" s="1354">
        <v>8898</v>
      </c>
      <c r="J1155" s="1354"/>
      <c r="K1155" s="1354"/>
      <c r="L1155" s="1347" t="s">
        <v>349</v>
      </c>
      <c r="M1155" s="223">
        <f t="shared" si="520"/>
        <v>883.92732000000001</v>
      </c>
      <c r="N1155" s="224">
        <f t="shared" si="516"/>
        <v>883.92732000000001</v>
      </c>
      <c r="O1155" s="224">
        <f t="shared" si="517"/>
        <v>0</v>
      </c>
      <c r="P1155" s="224">
        <f t="shared" si="518"/>
        <v>0</v>
      </c>
      <c r="Q1155" s="292"/>
    </row>
    <row r="1156" spans="1:17" ht="13.2" hidden="1" customHeight="1" outlineLevel="1">
      <c r="A1156" s="211" t="s">
        <v>1039</v>
      </c>
      <c r="B1156" s="1346" t="s">
        <v>411</v>
      </c>
      <c r="C1156" s="1332">
        <v>20044</v>
      </c>
      <c r="D1156" s="1317" t="s">
        <v>433</v>
      </c>
      <c r="E1156" s="1347" t="s">
        <v>349</v>
      </c>
      <c r="F1156" s="1313" t="s">
        <v>430</v>
      </c>
      <c r="G1156" s="1349">
        <v>9.9339999999999998E-2</v>
      </c>
      <c r="H1156" s="222">
        <f t="shared" si="519"/>
        <v>1638</v>
      </c>
      <c r="I1156" s="1354">
        <v>1638</v>
      </c>
      <c r="J1156" s="1354"/>
      <c r="K1156" s="1354"/>
      <c r="L1156" s="1347" t="s">
        <v>349</v>
      </c>
      <c r="M1156" s="223">
        <f t="shared" si="520"/>
        <v>162.71892</v>
      </c>
      <c r="N1156" s="224">
        <f t="shared" si="516"/>
        <v>162.71892</v>
      </c>
      <c r="O1156" s="224">
        <f t="shared" si="517"/>
        <v>0</v>
      </c>
      <c r="P1156" s="224">
        <f t="shared" si="518"/>
        <v>0</v>
      </c>
      <c r="Q1156" s="292"/>
    </row>
    <row r="1157" spans="1:17" ht="13.2" hidden="1" customHeight="1" outlineLevel="1">
      <c r="A1157" s="211" t="s">
        <v>1039</v>
      </c>
      <c r="B1157" s="1346" t="s">
        <v>412</v>
      </c>
      <c r="C1157" s="1332">
        <v>15141</v>
      </c>
      <c r="D1157" s="1317" t="s">
        <v>433</v>
      </c>
      <c r="E1157" s="1347" t="s">
        <v>349</v>
      </c>
      <c r="F1157" s="1313" t="s">
        <v>429</v>
      </c>
      <c r="G1157" s="1349">
        <v>9.3490000000000004E-2</v>
      </c>
      <c r="H1157" s="222">
        <f t="shared" si="519"/>
        <v>622</v>
      </c>
      <c r="I1157" s="1354">
        <v>622</v>
      </c>
      <c r="J1157" s="1354"/>
      <c r="K1157" s="1354"/>
      <c r="L1157" s="1347" t="s">
        <v>349</v>
      </c>
      <c r="M1157" s="223">
        <f t="shared" si="520"/>
        <v>58.150780000000005</v>
      </c>
      <c r="N1157" s="224">
        <f t="shared" si="516"/>
        <v>58.150780000000005</v>
      </c>
      <c r="O1157" s="224">
        <f t="shared" si="517"/>
        <v>0</v>
      </c>
      <c r="P1157" s="224">
        <f t="shared" si="518"/>
        <v>0</v>
      </c>
      <c r="Q1157" s="292"/>
    </row>
    <row r="1158" spans="1:17" ht="13.2" hidden="1" customHeight="1" outlineLevel="1">
      <c r="A1158" s="211" t="s">
        <v>1039</v>
      </c>
      <c r="B1158" s="1346" t="s">
        <v>413</v>
      </c>
      <c r="C1158" s="1332">
        <v>16904</v>
      </c>
      <c r="D1158" s="1317" t="s">
        <v>433</v>
      </c>
      <c r="E1158" s="1347" t="s">
        <v>349</v>
      </c>
      <c r="F1158" s="1313" t="s">
        <v>430</v>
      </c>
      <c r="G1158" s="1349">
        <v>9.9339999999999998E-2</v>
      </c>
      <c r="H1158" s="222">
        <f t="shared" si="519"/>
        <v>2065</v>
      </c>
      <c r="I1158" s="1354">
        <v>2065</v>
      </c>
      <c r="J1158" s="1354"/>
      <c r="K1158" s="1354"/>
      <c r="L1158" s="1347" t="s">
        <v>349</v>
      </c>
      <c r="M1158" s="223">
        <f t="shared" si="520"/>
        <v>205.1371</v>
      </c>
      <c r="N1158" s="224">
        <f t="shared" si="516"/>
        <v>205.1371</v>
      </c>
      <c r="O1158" s="224">
        <f t="shared" si="517"/>
        <v>0</v>
      </c>
      <c r="P1158" s="224">
        <f t="shared" si="518"/>
        <v>0</v>
      </c>
      <c r="Q1158" s="292"/>
    </row>
    <row r="1159" spans="1:17" ht="13.2" hidden="1" customHeight="1" outlineLevel="1">
      <c r="A1159" s="211" t="s">
        <v>1039</v>
      </c>
      <c r="B1159" s="1346" t="s">
        <v>595</v>
      </c>
      <c r="C1159" s="1332">
        <v>891</v>
      </c>
      <c r="D1159" s="1317" t="s">
        <v>433</v>
      </c>
      <c r="E1159" s="1347" t="s">
        <v>349</v>
      </c>
      <c r="F1159" s="1313" t="s">
        <v>429</v>
      </c>
      <c r="G1159" s="1349">
        <v>9.3490000000000004E-2</v>
      </c>
      <c r="H1159" s="222">
        <f t="shared" ref="H1159:H1166" si="525">SUM(I1159:K1159)</f>
        <v>1751</v>
      </c>
      <c r="I1159" s="1354">
        <v>1751</v>
      </c>
      <c r="J1159" s="1354"/>
      <c r="K1159" s="1354"/>
      <c r="L1159" s="1347" t="s">
        <v>349</v>
      </c>
      <c r="M1159" s="223">
        <f t="shared" si="520"/>
        <v>163.70099000000002</v>
      </c>
      <c r="N1159" s="224">
        <f t="shared" si="516"/>
        <v>163.70099000000002</v>
      </c>
      <c r="O1159" s="224">
        <f t="shared" si="517"/>
        <v>0</v>
      </c>
      <c r="P1159" s="224">
        <f t="shared" si="518"/>
        <v>0</v>
      </c>
      <c r="Q1159" s="292"/>
    </row>
    <row r="1160" spans="1:17" ht="13.2" hidden="1" customHeight="1" outlineLevel="1">
      <c r="A1160" s="211" t="s">
        <v>1039</v>
      </c>
      <c r="B1160" s="1346" t="s">
        <v>606</v>
      </c>
      <c r="C1160" s="1332">
        <v>892</v>
      </c>
      <c r="D1160" s="1317" t="s">
        <v>433</v>
      </c>
      <c r="E1160" s="1347" t="s">
        <v>349</v>
      </c>
      <c r="F1160" s="1313" t="s">
        <v>429</v>
      </c>
      <c r="G1160" s="1349">
        <v>9.3490000000000004E-2</v>
      </c>
      <c r="H1160" s="222">
        <f t="shared" si="525"/>
        <v>5563</v>
      </c>
      <c r="I1160" s="1354">
        <v>5563</v>
      </c>
      <c r="J1160" s="1354"/>
      <c r="K1160" s="1354"/>
      <c r="L1160" s="1347" t="s">
        <v>349</v>
      </c>
      <c r="M1160" s="223">
        <f t="shared" si="520"/>
        <v>520.08487000000002</v>
      </c>
      <c r="N1160" s="224">
        <f t="shared" si="516"/>
        <v>520.08487000000002</v>
      </c>
      <c r="O1160" s="224">
        <f t="shared" si="517"/>
        <v>0</v>
      </c>
      <c r="P1160" s="224">
        <f t="shared" si="518"/>
        <v>0</v>
      </c>
      <c r="Q1160" s="292"/>
    </row>
    <row r="1161" spans="1:17" ht="13.2" hidden="1" customHeight="1" outlineLevel="1">
      <c r="A1161" s="211" t="s">
        <v>1039</v>
      </c>
      <c r="B1161" s="1346" t="s">
        <v>1302</v>
      </c>
      <c r="C1161" s="1332">
        <v>708</v>
      </c>
      <c r="D1161" s="1317" t="s">
        <v>433</v>
      </c>
      <c r="E1161" s="1347" t="s">
        <v>349</v>
      </c>
      <c r="F1161" s="1313" t="s">
        <v>430</v>
      </c>
      <c r="G1161" s="1349">
        <v>9.9339999999999998E-2</v>
      </c>
      <c r="H1161" s="222">
        <f t="shared" si="525"/>
        <v>0</v>
      </c>
      <c r="I1161" s="1354">
        <v>0</v>
      </c>
      <c r="J1161" s="1354"/>
      <c r="K1161" s="1354"/>
      <c r="L1161" s="1347" t="s">
        <v>349</v>
      </c>
      <c r="M1161" s="223">
        <f t="shared" si="520"/>
        <v>0</v>
      </c>
      <c r="N1161" s="224">
        <f t="shared" si="516"/>
        <v>0</v>
      </c>
      <c r="O1161" s="224">
        <f t="shared" si="517"/>
        <v>0</v>
      </c>
      <c r="P1161" s="224">
        <f t="shared" si="518"/>
        <v>0</v>
      </c>
      <c r="Q1161" s="292"/>
    </row>
    <row r="1162" spans="1:17" ht="13.2" hidden="1" customHeight="1" outlineLevel="1">
      <c r="A1162" s="211" t="s">
        <v>1039</v>
      </c>
      <c r="B1162" s="1346" t="s">
        <v>414</v>
      </c>
      <c r="C1162" s="1332">
        <v>16757</v>
      </c>
      <c r="D1162" s="1317" t="s">
        <v>433</v>
      </c>
      <c r="E1162" s="1347" t="s">
        <v>349</v>
      </c>
      <c r="F1162" s="1313" t="s">
        <v>429</v>
      </c>
      <c r="G1162" s="1349">
        <v>9.3490000000000004E-2</v>
      </c>
      <c r="H1162" s="222">
        <f t="shared" si="525"/>
        <v>1406</v>
      </c>
      <c r="I1162" s="1354">
        <v>1406</v>
      </c>
      <c r="J1162" s="1354"/>
      <c r="K1162" s="1354"/>
      <c r="L1162" s="1347" t="s">
        <v>349</v>
      </c>
      <c r="M1162" s="223">
        <f t="shared" si="520"/>
        <v>131.44694000000001</v>
      </c>
      <c r="N1162" s="224">
        <f t="shared" si="516"/>
        <v>131.44694000000001</v>
      </c>
      <c r="O1162" s="224">
        <f t="shared" si="517"/>
        <v>0</v>
      </c>
      <c r="P1162" s="224">
        <f t="shared" si="518"/>
        <v>0</v>
      </c>
      <c r="Q1162" s="292"/>
    </row>
    <row r="1163" spans="1:17" ht="13.2" hidden="1" customHeight="1" outlineLevel="1">
      <c r="A1163" s="211" t="s">
        <v>1039</v>
      </c>
      <c r="B1163" s="1346" t="s">
        <v>596</v>
      </c>
      <c r="C1163" s="1332">
        <v>878</v>
      </c>
      <c r="D1163" s="1317" t="s">
        <v>433</v>
      </c>
      <c r="E1163" s="1347" t="s">
        <v>349</v>
      </c>
      <c r="F1163" s="1313" t="s">
        <v>429</v>
      </c>
      <c r="G1163" s="1349">
        <v>9.3490000000000004E-2</v>
      </c>
      <c r="H1163" s="222">
        <f t="shared" si="525"/>
        <v>9780</v>
      </c>
      <c r="I1163" s="1354">
        <v>9780</v>
      </c>
      <c r="J1163" s="1354"/>
      <c r="K1163" s="1354"/>
      <c r="L1163" s="1347" t="s">
        <v>349</v>
      </c>
      <c r="M1163" s="223">
        <f t="shared" si="520"/>
        <v>914.33220000000006</v>
      </c>
      <c r="N1163" s="224">
        <f t="shared" si="516"/>
        <v>914.33220000000006</v>
      </c>
      <c r="O1163" s="224">
        <f t="shared" si="517"/>
        <v>0</v>
      </c>
      <c r="P1163" s="224">
        <f t="shared" si="518"/>
        <v>0</v>
      </c>
      <c r="Q1163" s="292"/>
    </row>
    <row r="1164" spans="1:17" ht="13.2" hidden="1" customHeight="1" outlineLevel="1">
      <c r="A1164" s="211" t="s">
        <v>1039</v>
      </c>
      <c r="B1164" s="1346" t="s">
        <v>597</v>
      </c>
      <c r="C1164" s="1332">
        <v>879</v>
      </c>
      <c r="D1164" s="1317" t="s">
        <v>433</v>
      </c>
      <c r="E1164" s="1347" t="s">
        <v>349</v>
      </c>
      <c r="F1164" s="1313" t="s">
        <v>429</v>
      </c>
      <c r="G1164" s="1349">
        <v>9.3490000000000004E-2</v>
      </c>
      <c r="H1164" s="222">
        <f t="shared" si="525"/>
        <v>6915</v>
      </c>
      <c r="I1164" s="1354">
        <v>6915</v>
      </c>
      <c r="J1164" s="1354"/>
      <c r="K1164" s="1354"/>
      <c r="L1164" s="1347" t="s">
        <v>349</v>
      </c>
      <c r="M1164" s="223">
        <f t="shared" si="520"/>
        <v>646.48334999999997</v>
      </c>
      <c r="N1164" s="224">
        <f t="shared" si="516"/>
        <v>646.48334999999997</v>
      </c>
      <c r="O1164" s="224">
        <f t="shared" si="517"/>
        <v>0</v>
      </c>
      <c r="P1164" s="224">
        <f t="shared" si="518"/>
        <v>0</v>
      </c>
      <c r="Q1164" s="292"/>
    </row>
    <row r="1165" spans="1:17" ht="13.2" hidden="1" customHeight="1" outlineLevel="1">
      <c r="A1165" s="211" t="s">
        <v>1039</v>
      </c>
      <c r="B1165" s="1346" t="s">
        <v>598</v>
      </c>
      <c r="C1165" s="1332">
        <v>880</v>
      </c>
      <c r="D1165" s="1317" t="s">
        <v>433</v>
      </c>
      <c r="E1165" s="1347" t="s">
        <v>349</v>
      </c>
      <c r="F1165" s="1313" t="s">
        <v>429</v>
      </c>
      <c r="G1165" s="1349">
        <v>9.3490000000000004E-2</v>
      </c>
      <c r="H1165" s="222">
        <f t="shared" si="525"/>
        <v>0</v>
      </c>
      <c r="I1165" s="1354">
        <v>0</v>
      </c>
      <c r="J1165" s="1354"/>
      <c r="K1165" s="1354"/>
      <c r="L1165" s="1347" t="s">
        <v>349</v>
      </c>
      <c r="M1165" s="223">
        <f t="shared" si="520"/>
        <v>0</v>
      </c>
      <c r="N1165" s="224">
        <f t="shared" si="516"/>
        <v>0</v>
      </c>
      <c r="O1165" s="224">
        <f t="shared" si="517"/>
        <v>0</v>
      </c>
      <c r="P1165" s="224">
        <f t="shared" si="518"/>
        <v>0</v>
      </c>
      <c r="Q1165" s="292"/>
    </row>
    <row r="1166" spans="1:17" ht="13.2" hidden="1" customHeight="1" outlineLevel="1">
      <c r="A1166" s="211" t="s">
        <v>1039</v>
      </c>
      <c r="B1166" s="1346" t="s">
        <v>599</v>
      </c>
      <c r="C1166" s="1332">
        <v>4650</v>
      </c>
      <c r="D1166" s="1317" t="s">
        <v>433</v>
      </c>
      <c r="E1166" s="1347" t="s">
        <v>349</v>
      </c>
      <c r="F1166" s="1313" t="s">
        <v>429</v>
      </c>
      <c r="G1166" s="1349">
        <v>9.3490000000000004E-2</v>
      </c>
      <c r="H1166" s="222">
        <f t="shared" si="525"/>
        <v>8905</v>
      </c>
      <c r="I1166" s="1354">
        <v>8905</v>
      </c>
      <c r="J1166" s="1354"/>
      <c r="K1166" s="1354"/>
      <c r="L1166" s="1347" t="s">
        <v>349</v>
      </c>
      <c r="M1166" s="223">
        <f t="shared" si="520"/>
        <v>832.52845000000002</v>
      </c>
      <c r="N1166" s="224">
        <f t="shared" si="516"/>
        <v>832.52845000000002</v>
      </c>
      <c r="O1166" s="224">
        <f t="shared" si="517"/>
        <v>0</v>
      </c>
      <c r="P1166" s="224">
        <f t="shared" si="518"/>
        <v>0</v>
      </c>
      <c r="Q1166" s="292"/>
    </row>
    <row r="1167" spans="1:17" ht="13.2" hidden="1" customHeight="1" outlineLevel="1">
      <c r="A1167" s="211" t="s">
        <v>1039</v>
      </c>
      <c r="B1167" s="1346" t="s">
        <v>1303</v>
      </c>
      <c r="C1167" s="1332">
        <v>14114</v>
      </c>
      <c r="D1167" s="1317" t="s">
        <v>433</v>
      </c>
      <c r="E1167" s="1347" t="s">
        <v>349</v>
      </c>
      <c r="F1167" s="1313" t="s">
        <v>430</v>
      </c>
      <c r="G1167" s="1349">
        <v>9.9339999999999998E-2</v>
      </c>
      <c r="H1167" s="222">
        <f t="shared" ref="H1167:H1184" si="526">SUM(I1167:K1167)</f>
        <v>4416</v>
      </c>
      <c r="I1167" s="1354">
        <v>4416</v>
      </c>
      <c r="J1167" s="1354"/>
      <c r="K1167" s="1354"/>
      <c r="L1167" s="1347" t="s">
        <v>349</v>
      </c>
      <c r="M1167" s="223">
        <f t="shared" si="520"/>
        <v>438.68543999999997</v>
      </c>
      <c r="N1167" s="224">
        <f t="shared" si="516"/>
        <v>438.68543999999997</v>
      </c>
      <c r="O1167" s="224">
        <f t="shared" si="517"/>
        <v>0</v>
      </c>
      <c r="P1167" s="224">
        <f t="shared" si="518"/>
        <v>0</v>
      </c>
      <c r="Q1167" s="292"/>
    </row>
    <row r="1168" spans="1:17" ht="13.2" hidden="1" customHeight="1" outlineLevel="1">
      <c r="A1168" s="211" t="s">
        <v>1039</v>
      </c>
      <c r="B1168" s="1346" t="s">
        <v>1303</v>
      </c>
      <c r="C1168" s="1332">
        <v>14114</v>
      </c>
      <c r="D1168" s="1317" t="s">
        <v>433</v>
      </c>
      <c r="E1168" s="1347" t="s">
        <v>349</v>
      </c>
      <c r="F1168" s="1313" t="s">
        <v>430</v>
      </c>
      <c r="G1168" s="1349">
        <v>0.18418000000000001</v>
      </c>
      <c r="H1168" s="222">
        <f t="shared" si="526"/>
        <v>4416</v>
      </c>
      <c r="I1168" s="1354">
        <v>4416</v>
      </c>
      <c r="J1168" s="1354"/>
      <c r="K1168" s="1354"/>
      <c r="L1168" s="1347" t="s">
        <v>349</v>
      </c>
      <c r="M1168" s="223">
        <f t="shared" si="520"/>
        <v>813.33888000000002</v>
      </c>
      <c r="N1168" s="224">
        <f t="shared" si="516"/>
        <v>813.33888000000002</v>
      </c>
      <c r="O1168" s="224">
        <f t="shared" si="517"/>
        <v>0</v>
      </c>
      <c r="P1168" s="224">
        <f t="shared" si="518"/>
        <v>0</v>
      </c>
      <c r="Q1168" s="292"/>
    </row>
    <row r="1169" spans="1:18" ht="13.2" hidden="1" customHeight="1" outlineLevel="1">
      <c r="A1169" s="211" t="s">
        <v>1039</v>
      </c>
      <c r="B1169" s="1346" t="s">
        <v>600</v>
      </c>
      <c r="C1169" s="1332">
        <v>969</v>
      </c>
      <c r="D1169" s="1317" t="s">
        <v>433</v>
      </c>
      <c r="E1169" s="1347" t="s">
        <v>349</v>
      </c>
      <c r="F1169" s="1313" t="s">
        <v>429</v>
      </c>
      <c r="G1169" s="1349">
        <v>9.3490000000000004E-2</v>
      </c>
      <c r="H1169" s="222">
        <f t="shared" si="526"/>
        <v>9133</v>
      </c>
      <c r="I1169" s="1354">
        <v>9133</v>
      </c>
      <c r="J1169" s="1354"/>
      <c r="K1169" s="1354"/>
      <c r="L1169" s="1347" t="s">
        <v>349</v>
      </c>
      <c r="M1169" s="223">
        <f t="shared" si="520"/>
        <v>853.84417000000008</v>
      </c>
      <c r="N1169" s="224">
        <f t="shared" si="516"/>
        <v>853.84417000000008</v>
      </c>
      <c r="O1169" s="224">
        <f t="shared" si="517"/>
        <v>0</v>
      </c>
      <c r="P1169" s="224">
        <f t="shared" si="518"/>
        <v>0</v>
      </c>
      <c r="Q1169" s="292"/>
    </row>
    <row r="1170" spans="1:18" ht="13.2" hidden="1" customHeight="1" outlineLevel="1">
      <c r="A1170" s="211" t="s">
        <v>1039</v>
      </c>
      <c r="B1170" s="1346" t="s">
        <v>601</v>
      </c>
      <c r="C1170" s="1332">
        <v>1003</v>
      </c>
      <c r="D1170" s="1317" t="s">
        <v>433</v>
      </c>
      <c r="E1170" s="1347" t="s">
        <v>349</v>
      </c>
      <c r="F1170" s="1313" t="s">
        <v>430</v>
      </c>
      <c r="G1170" s="1349">
        <v>9.9339999999999998E-2</v>
      </c>
      <c r="H1170" s="222">
        <f t="shared" si="526"/>
        <v>3480</v>
      </c>
      <c r="I1170" s="1354">
        <v>3480</v>
      </c>
      <c r="J1170" s="1354"/>
      <c r="K1170" s="1354"/>
      <c r="L1170" s="1347" t="s">
        <v>349</v>
      </c>
      <c r="M1170" s="223">
        <f t="shared" si="520"/>
        <v>345.70319999999998</v>
      </c>
      <c r="N1170" s="224">
        <f t="shared" si="516"/>
        <v>345.70319999999998</v>
      </c>
      <c r="O1170" s="224">
        <f t="shared" si="517"/>
        <v>0</v>
      </c>
      <c r="P1170" s="224">
        <f t="shared" si="518"/>
        <v>0</v>
      </c>
      <c r="Q1170" s="292"/>
    </row>
    <row r="1171" spans="1:18" ht="13.2" hidden="1" customHeight="1" outlineLevel="1">
      <c r="A1171" s="211" t="s">
        <v>1039</v>
      </c>
      <c r="B1171" s="1346" t="s">
        <v>416</v>
      </c>
      <c r="C1171" s="1332">
        <v>881</v>
      </c>
      <c r="D1171" s="1317" t="s">
        <v>433</v>
      </c>
      <c r="E1171" s="1347" t="s">
        <v>349</v>
      </c>
      <c r="F1171" s="1313" t="s">
        <v>429</v>
      </c>
      <c r="G1171" s="1349">
        <v>9.3490000000000004E-2</v>
      </c>
      <c r="H1171" s="222">
        <f t="shared" si="526"/>
        <v>902</v>
      </c>
      <c r="I1171" s="1354">
        <v>902</v>
      </c>
      <c r="J1171" s="1354"/>
      <c r="K1171" s="1354"/>
      <c r="L1171" s="1347" t="s">
        <v>349</v>
      </c>
      <c r="M1171" s="223">
        <f t="shared" si="520"/>
        <v>84.327979999999997</v>
      </c>
      <c r="N1171" s="224">
        <f t="shared" si="516"/>
        <v>84.327979999999997</v>
      </c>
      <c r="O1171" s="224">
        <f t="shared" si="517"/>
        <v>0</v>
      </c>
      <c r="P1171" s="224">
        <f t="shared" si="518"/>
        <v>0</v>
      </c>
      <c r="Q1171" s="292"/>
    </row>
    <row r="1172" spans="1:18" ht="13.2" hidden="1" customHeight="1" outlineLevel="1">
      <c r="A1172" s="211" t="s">
        <v>1039</v>
      </c>
      <c r="B1172" s="1346" t="s">
        <v>417</v>
      </c>
      <c r="C1172" s="1332">
        <v>832</v>
      </c>
      <c r="D1172" s="1317" t="s">
        <v>433</v>
      </c>
      <c r="E1172" s="1347" t="s">
        <v>349</v>
      </c>
      <c r="F1172" s="1313" t="s">
        <v>429</v>
      </c>
      <c r="G1172" s="1349">
        <v>9.3490000000000004E-2</v>
      </c>
      <c r="H1172" s="222">
        <f t="shared" si="526"/>
        <v>301</v>
      </c>
      <c r="I1172" s="1354">
        <v>301</v>
      </c>
      <c r="J1172" s="1354"/>
      <c r="K1172" s="1354"/>
      <c r="L1172" s="1347" t="s">
        <v>349</v>
      </c>
      <c r="M1172" s="223">
        <f t="shared" si="520"/>
        <v>28.14049</v>
      </c>
      <c r="N1172" s="224">
        <f t="shared" si="516"/>
        <v>28.14049</v>
      </c>
      <c r="O1172" s="224">
        <f t="shared" si="517"/>
        <v>0</v>
      </c>
      <c r="P1172" s="224">
        <f t="shared" si="518"/>
        <v>0</v>
      </c>
      <c r="Q1172" s="292"/>
    </row>
    <row r="1173" spans="1:18" ht="13.2" hidden="1" customHeight="1" outlineLevel="1">
      <c r="A1173" s="211" t="s">
        <v>1039</v>
      </c>
      <c r="B1173" s="1346" t="s">
        <v>418</v>
      </c>
      <c r="C1173" s="1332">
        <v>1138</v>
      </c>
      <c r="D1173" s="1317" t="s">
        <v>433</v>
      </c>
      <c r="E1173" s="1347" t="s">
        <v>349</v>
      </c>
      <c r="F1173" s="1313" t="s">
        <v>430</v>
      </c>
      <c r="G1173" s="1349">
        <v>9.9339999999999998E-2</v>
      </c>
      <c r="H1173" s="222">
        <f t="shared" si="526"/>
        <v>8116</v>
      </c>
      <c r="I1173" s="1354">
        <v>8116</v>
      </c>
      <c r="J1173" s="1354"/>
      <c r="K1173" s="1354"/>
      <c r="L1173" s="1347" t="s">
        <v>349</v>
      </c>
      <c r="M1173" s="223">
        <f t="shared" si="520"/>
        <v>806.24343999999996</v>
      </c>
      <c r="N1173" s="224">
        <f t="shared" si="516"/>
        <v>806.24343999999996</v>
      </c>
      <c r="O1173" s="224">
        <f t="shared" si="517"/>
        <v>0</v>
      </c>
      <c r="P1173" s="224">
        <f t="shared" si="518"/>
        <v>0</v>
      </c>
      <c r="Q1173" s="292"/>
    </row>
    <row r="1174" spans="1:18" ht="13.2" hidden="1" customHeight="1" outlineLevel="1">
      <c r="A1174" s="211" t="s">
        <v>1039</v>
      </c>
      <c r="B1174" s="1346" t="s">
        <v>419</v>
      </c>
      <c r="C1174" s="1332">
        <v>1010</v>
      </c>
      <c r="D1174" s="1317" t="s">
        <v>433</v>
      </c>
      <c r="E1174" s="1347" t="s">
        <v>349</v>
      </c>
      <c r="F1174" s="1313" t="s">
        <v>430</v>
      </c>
      <c r="G1174" s="1349">
        <v>9.9339999999999998E-2</v>
      </c>
      <c r="H1174" s="222">
        <f t="shared" si="526"/>
        <v>0</v>
      </c>
      <c r="I1174" s="1354">
        <v>0</v>
      </c>
      <c r="J1174" s="1354"/>
      <c r="K1174" s="1354"/>
      <c r="L1174" s="1347" t="s">
        <v>349</v>
      </c>
      <c r="M1174" s="223">
        <f t="shared" si="520"/>
        <v>0</v>
      </c>
      <c r="N1174" s="224">
        <f t="shared" si="516"/>
        <v>0</v>
      </c>
      <c r="O1174" s="224">
        <f t="shared" si="517"/>
        <v>0</v>
      </c>
      <c r="P1174" s="224">
        <f t="shared" si="518"/>
        <v>0</v>
      </c>
      <c r="Q1174" s="292"/>
    </row>
    <row r="1175" spans="1:18" ht="13.2" hidden="1" customHeight="1" outlineLevel="1">
      <c r="A1175" s="211" t="s">
        <v>1039</v>
      </c>
      <c r="B1175" s="1346" t="s">
        <v>420</v>
      </c>
      <c r="C1175" s="1332">
        <v>16476</v>
      </c>
      <c r="D1175" s="1317" t="s">
        <v>433</v>
      </c>
      <c r="E1175" s="1347" t="s">
        <v>349</v>
      </c>
      <c r="F1175" s="1313" t="s">
        <v>430</v>
      </c>
      <c r="G1175" s="1349">
        <v>9.9339999999999998E-2</v>
      </c>
      <c r="H1175" s="222">
        <f t="shared" si="526"/>
        <v>302</v>
      </c>
      <c r="I1175" s="1354">
        <v>302</v>
      </c>
      <c r="J1175" s="1354"/>
      <c r="K1175" s="1354"/>
      <c r="L1175" s="1347" t="s">
        <v>349</v>
      </c>
      <c r="M1175" s="223">
        <f t="shared" si="520"/>
        <v>30.000679999999999</v>
      </c>
      <c r="N1175" s="224">
        <f t="shared" si="516"/>
        <v>30.000679999999999</v>
      </c>
      <c r="O1175" s="224">
        <f t="shared" si="517"/>
        <v>0</v>
      </c>
      <c r="P1175" s="224">
        <f t="shared" si="518"/>
        <v>0</v>
      </c>
      <c r="Q1175" s="292"/>
    </row>
    <row r="1176" spans="1:18" ht="13.2" hidden="1" customHeight="1" outlineLevel="1">
      <c r="A1176" s="211" t="s">
        <v>1039</v>
      </c>
      <c r="B1176" s="1346" t="s">
        <v>602</v>
      </c>
      <c r="C1176" s="1332">
        <v>965</v>
      </c>
      <c r="D1176" s="1317" t="s">
        <v>433</v>
      </c>
      <c r="E1176" s="1347" t="s">
        <v>349</v>
      </c>
      <c r="F1176" s="1313" t="s">
        <v>429</v>
      </c>
      <c r="G1176" s="1349">
        <v>9.3490000000000004E-2</v>
      </c>
      <c r="H1176" s="222">
        <f t="shared" si="526"/>
        <v>1428</v>
      </c>
      <c r="I1176" s="1354">
        <v>1428</v>
      </c>
      <c r="J1176" s="1354"/>
      <c r="K1176" s="1354"/>
      <c r="L1176" s="1347" t="s">
        <v>349</v>
      </c>
      <c r="M1176" s="223">
        <f t="shared" si="520"/>
        <v>133.50372000000002</v>
      </c>
      <c r="N1176" s="224">
        <f t="shared" si="516"/>
        <v>133.50372000000002</v>
      </c>
      <c r="O1176" s="224">
        <f t="shared" si="517"/>
        <v>0</v>
      </c>
      <c r="P1176" s="224">
        <f t="shared" si="518"/>
        <v>0</v>
      </c>
      <c r="Q1176" s="292"/>
    </row>
    <row r="1177" spans="1:18" ht="13.2" hidden="1" customHeight="1" outlineLevel="1">
      <c r="A1177" s="211" t="s">
        <v>1039</v>
      </c>
      <c r="B1177" s="1346" t="s">
        <v>603</v>
      </c>
      <c r="C1177" s="1332">
        <v>968</v>
      </c>
      <c r="D1177" s="1317" t="s">
        <v>433</v>
      </c>
      <c r="E1177" s="1347" t="s">
        <v>349</v>
      </c>
      <c r="F1177" s="1313" t="s">
        <v>429</v>
      </c>
      <c r="G1177" s="1349">
        <v>9.3490000000000004E-2</v>
      </c>
      <c r="H1177" s="222">
        <f t="shared" si="526"/>
        <v>1312</v>
      </c>
      <c r="I1177" s="1354">
        <v>1312</v>
      </c>
      <c r="J1177" s="1354"/>
      <c r="K1177" s="1354"/>
      <c r="L1177" s="1347" t="s">
        <v>349</v>
      </c>
      <c r="M1177" s="223">
        <f t="shared" si="520"/>
        <v>122.65888000000001</v>
      </c>
      <c r="N1177" s="224">
        <f t="shared" si="516"/>
        <v>122.65888000000001</v>
      </c>
      <c r="O1177" s="224">
        <f t="shared" si="517"/>
        <v>0</v>
      </c>
      <c r="P1177" s="224">
        <f t="shared" si="518"/>
        <v>0</v>
      </c>
      <c r="Q1177" s="292"/>
    </row>
    <row r="1178" spans="1:18" ht="13.2" hidden="1" customHeight="1" outlineLevel="1">
      <c r="A1178" s="211" t="s">
        <v>1039</v>
      </c>
      <c r="B1178" s="1346" t="s">
        <v>421</v>
      </c>
      <c r="C1178" s="1332">
        <v>964</v>
      </c>
      <c r="D1178" s="1317" t="s">
        <v>433</v>
      </c>
      <c r="E1178" s="1347" t="s">
        <v>349</v>
      </c>
      <c r="F1178" s="1313" t="s">
        <v>429</v>
      </c>
      <c r="G1178" s="1349">
        <v>9.3490000000000004E-2</v>
      </c>
      <c r="H1178" s="222">
        <f t="shared" si="526"/>
        <v>147</v>
      </c>
      <c r="I1178" s="1354">
        <v>147</v>
      </c>
      <c r="J1178" s="1354"/>
      <c r="K1178" s="1354"/>
      <c r="L1178" s="1347" t="s">
        <v>349</v>
      </c>
      <c r="M1178" s="223">
        <f t="shared" si="520"/>
        <v>13.743030000000001</v>
      </c>
      <c r="N1178" s="224">
        <f t="shared" si="516"/>
        <v>13.743030000000001</v>
      </c>
      <c r="O1178" s="224">
        <f t="shared" si="517"/>
        <v>0</v>
      </c>
      <c r="P1178" s="224">
        <f t="shared" si="518"/>
        <v>0</v>
      </c>
      <c r="Q1178" s="292"/>
    </row>
    <row r="1179" spans="1:18" ht="13.2" hidden="1" customHeight="1" outlineLevel="1">
      <c r="A1179" s="211" t="s">
        <v>1039</v>
      </c>
      <c r="B1179" s="1346" t="s">
        <v>422</v>
      </c>
      <c r="C1179" s="1332">
        <v>16477</v>
      </c>
      <c r="D1179" s="1317" t="s">
        <v>433</v>
      </c>
      <c r="E1179" s="1347" t="s">
        <v>349</v>
      </c>
      <c r="F1179" s="1313" t="s">
        <v>430</v>
      </c>
      <c r="G1179" s="1349">
        <v>9.9339999999999998E-2</v>
      </c>
      <c r="H1179" s="222">
        <f t="shared" si="526"/>
        <v>65</v>
      </c>
      <c r="I1179" s="1354">
        <v>65</v>
      </c>
      <c r="J1179" s="1354"/>
      <c r="K1179" s="1354"/>
      <c r="L1179" s="1347" t="s">
        <v>349</v>
      </c>
      <c r="M1179" s="223">
        <f t="shared" ref="M1179:M1181" si="527">SUM(N1179:P1179)</f>
        <v>6.4570999999999996</v>
      </c>
      <c r="N1179" s="224">
        <f t="shared" si="516"/>
        <v>6.4570999999999996</v>
      </c>
      <c r="O1179" s="224">
        <f t="shared" si="517"/>
        <v>0</v>
      </c>
      <c r="P1179" s="224">
        <f t="shared" si="518"/>
        <v>0</v>
      </c>
      <c r="Q1179" s="292"/>
    </row>
    <row r="1180" spans="1:18" ht="13.2" hidden="1" customHeight="1" outlineLevel="1">
      <c r="A1180" s="211" t="s">
        <v>1039</v>
      </c>
      <c r="B1180" s="1346" t="s">
        <v>423</v>
      </c>
      <c r="C1180" s="1332">
        <v>703</v>
      </c>
      <c r="D1180" s="1317" t="s">
        <v>433</v>
      </c>
      <c r="E1180" s="1347" t="s">
        <v>349</v>
      </c>
      <c r="F1180" s="1313" t="s">
        <v>430</v>
      </c>
      <c r="G1180" s="1349">
        <v>9.9339999999999998E-2</v>
      </c>
      <c r="H1180" s="222">
        <f t="shared" si="526"/>
        <v>1669</v>
      </c>
      <c r="I1180" s="1354">
        <v>1669</v>
      </c>
      <c r="J1180" s="1354"/>
      <c r="K1180" s="1354"/>
      <c r="L1180" s="1347" t="s">
        <v>349</v>
      </c>
      <c r="M1180" s="223">
        <f t="shared" si="527"/>
        <v>165.79846000000001</v>
      </c>
      <c r="N1180" s="224">
        <f t="shared" si="516"/>
        <v>165.79846000000001</v>
      </c>
      <c r="O1180" s="224">
        <f t="shared" si="517"/>
        <v>0</v>
      </c>
      <c r="P1180" s="224">
        <f t="shared" si="518"/>
        <v>0</v>
      </c>
      <c r="Q1180" s="292"/>
    </row>
    <row r="1181" spans="1:18" ht="13.2" hidden="1" customHeight="1" outlineLevel="1">
      <c r="A1181" s="211" t="s">
        <v>1039</v>
      </c>
      <c r="B1181" s="1346" t="s">
        <v>604</v>
      </c>
      <c r="C1181" s="1332">
        <v>707</v>
      </c>
      <c r="D1181" s="1317" t="s">
        <v>433</v>
      </c>
      <c r="E1181" s="1347" t="s">
        <v>349</v>
      </c>
      <c r="F1181" s="1313" t="s">
        <v>430</v>
      </c>
      <c r="G1181" s="1349">
        <v>9.9339999999999998E-2</v>
      </c>
      <c r="H1181" s="222">
        <f t="shared" si="526"/>
        <v>8550</v>
      </c>
      <c r="I1181" s="1354">
        <v>8550</v>
      </c>
      <c r="J1181" s="1354"/>
      <c r="K1181" s="1354"/>
      <c r="L1181" s="1347" t="s">
        <v>349</v>
      </c>
      <c r="M1181" s="223">
        <f t="shared" si="527"/>
        <v>849.35699999999997</v>
      </c>
      <c r="N1181" s="224">
        <f t="shared" si="516"/>
        <v>849.35699999999997</v>
      </c>
      <c r="O1181" s="224">
        <f t="shared" si="517"/>
        <v>0</v>
      </c>
      <c r="P1181" s="224">
        <f t="shared" si="518"/>
        <v>0</v>
      </c>
      <c r="Q1181" s="292"/>
    </row>
    <row r="1182" spans="1:18" ht="13.2" hidden="1" customHeight="1" outlineLevel="1">
      <c r="A1182" s="211" t="s">
        <v>1039</v>
      </c>
      <c r="B1182" s="1356" t="s">
        <v>466</v>
      </c>
      <c r="C1182" s="1334">
        <v>15025</v>
      </c>
      <c r="D1182" s="1317" t="s">
        <v>433</v>
      </c>
      <c r="E1182" s="1357" t="s">
        <v>349</v>
      </c>
      <c r="F1182" s="1317" t="s">
        <v>430</v>
      </c>
      <c r="G1182" s="1348">
        <v>9.9339999999999998E-2</v>
      </c>
      <c r="H1182" s="222">
        <f t="shared" si="526"/>
        <v>1950</v>
      </c>
      <c r="I1182" s="1354">
        <v>1950</v>
      </c>
      <c r="J1182" s="1354"/>
      <c r="K1182" s="1354"/>
      <c r="L1182" s="1347" t="s">
        <v>349</v>
      </c>
      <c r="M1182" s="223">
        <f t="shared" ref="M1182:M1184" si="528">SUM(N1182:P1182)</f>
        <v>193.71299999999999</v>
      </c>
      <c r="N1182" s="224">
        <f t="shared" si="516"/>
        <v>193.71299999999999</v>
      </c>
      <c r="O1182" s="224">
        <f t="shared" si="517"/>
        <v>0</v>
      </c>
      <c r="P1182" s="224">
        <f t="shared" si="518"/>
        <v>0</v>
      </c>
      <c r="Q1182" s="292"/>
    </row>
    <row r="1183" spans="1:18" ht="13.2" hidden="1" customHeight="1" outlineLevel="1">
      <c r="A1183" s="211" t="s">
        <v>1039</v>
      </c>
      <c r="B1183" s="1346" t="s">
        <v>659</v>
      </c>
      <c r="C1183" s="1332">
        <v>51778</v>
      </c>
      <c r="D1183" s="1317" t="s">
        <v>433</v>
      </c>
      <c r="E1183" s="1347" t="s">
        <v>349</v>
      </c>
      <c r="F1183" s="1313" t="s">
        <v>430</v>
      </c>
      <c r="G1183" s="1349">
        <v>9.9339999999999998E-2</v>
      </c>
      <c r="H1183" s="222">
        <f t="shared" si="526"/>
        <v>597</v>
      </c>
      <c r="I1183" s="1354">
        <v>597</v>
      </c>
      <c r="J1183" s="1354"/>
      <c r="K1183" s="1354"/>
      <c r="L1183" s="1347" t="s">
        <v>349</v>
      </c>
      <c r="M1183" s="223">
        <f t="shared" si="528"/>
        <v>59.305979999999998</v>
      </c>
      <c r="N1183" s="224">
        <f t="shared" si="516"/>
        <v>59.305979999999998</v>
      </c>
      <c r="O1183" s="224">
        <f t="shared" si="517"/>
        <v>0</v>
      </c>
      <c r="P1183" s="224">
        <f t="shared" si="518"/>
        <v>0</v>
      </c>
      <c r="Q1183" s="292"/>
    </row>
    <row r="1184" spans="1:18" ht="13.8" hidden="1" customHeight="1" outlineLevel="1" thickBot="1">
      <c r="A1184" s="225" t="s">
        <v>1039</v>
      </c>
      <c r="B1184" s="1350" t="s">
        <v>461</v>
      </c>
      <c r="C1184" s="1336">
        <v>60447</v>
      </c>
      <c r="D1184" s="1321" t="s">
        <v>433</v>
      </c>
      <c r="E1184" s="1351" t="s">
        <v>349</v>
      </c>
      <c r="F1184" s="1321" t="s">
        <v>430</v>
      </c>
      <c r="G1184" s="1352">
        <v>9.9339999999999998E-2</v>
      </c>
      <c r="H1184" s="226">
        <f t="shared" si="526"/>
        <v>34027</v>
      </c>
      <c r="I1184" s="1355">
        <v>34027</v>
      </c>
      <c r="J1184" s="1355"/>
      <c r="K1184" s="1355"/>
      <c r="L1184" s="1351" t="s">
        <v>349</v>
      </c>
      <c r="M1184" s="227">
        <f t="shared" si="528"/>
        <v>3380.2421799999997</v>
      </c>
      <c r="N1184" s="228">
        <f t="shared" si="516"/>
        <v>3380.2421799999997</v>
      </c>
      <c r="O1184" s="228">
        <f t="shared" si="517"/>
        <v>0</v>
      </c>
      <c r="P1184" s="228">
        <f t="shared" si="518"/>
        <v>0</v>
      </c>
      <c r="Q1184" s="518"/>
      <c r="R1184" s="512">
        <f>SUM(M1152:M1184)</f>
        <v>12938.279919999999</v>
      </c>
    </row>
    <row r="1185" spans="1:33" ht="13.8" collapsed="1" thickBot="1">
      <c r="A1185" s="193" t="s">
        <v>969</v>
      </c>
      <c r="B1185" s="212"/>
      <c r="C1185" s="212"/>
      <c r="D1185" s="212"/>
      <c r="E1185" s="213"/>
      <c r="F1185" s="214"/>
      <c r="G1185" s="194"/>
      <c r="H1185" s="779">
        <f>SUM(H1053:H1184)</f>
        <v>521792</v>
      </c>
      <c r="I1185" s="231">
        <f>SUM(I1053:I1184)</f>
        <v>521792</v>
      </c>
      <c r="J1185" s="231">
        <f>SUM(J1053:J1184)</f>
        <v>0</v>
      </c>
      <c r="K1185" s="231">
        <f>SUM(K1053:K1184)</f>
        <v>0</v>
      </c>
      <c r="L1185" s="231"/>
      <c r="M1185" s="232">
        <f>SUM(M1053:M1184)</f>
        <v>52440.218480000018</v>
      </c>
      <c r="N1185" s="1411">
        <f>SUM(N1053:N1184)</f>
        <v>52440.218480000018</v>
      </c>
      <c r="O1185" s="1412">
        <f>SUM(O1053:O1184)</f>
        <v>0</v>
      </c>
      <c r="P1185" s="241">
        <f>SUM(P1053:P1184)</f>
        <v>0</v>
      </c>
      <c r="Q1185" s="241"/>
    </row>
    <row r="1186" spans="1:33">
      <c r="Q1186" s="205"/>
    </row>
    <row r="1187" spans="1:33" ht="13.8" thickBot="1">
      <c r="F1187" s="219"/>
      <c r="G1187" s="1488"/>
      <c r="H1187" s="219"/>
      <c r="I1187" s="219"/>
      <c r="J1187" s="219"/>
    </row>
    <row r="1188" spans="1:33">
      <c r="A1188" s="1767" t="s">
        <v>1194</v>
      </c>
      <c r="B1188" s="1783"/>
      <c r="C1188" s="1783"/>
      <c r="D1188" s="1783"/>
      <c r="E1188" s="1783"/>
      <c r="G1188" s="188"/>
      <c r="H1188" s="218"/>
      <c r="I1188" s="1785"/>
      <c r="J1188" s="1785"/>
      <c r="K1188" s="268"/>
      <c r="L1188" s="268"/>
      <c r="M1188" s="268"/>
      <c r="N1188" s="268"/>
      <c r="O1188" s="268"/>
      <c r="P1188" s="268"/>
      <c r="Q1188" s="268"/>
    </row>
    <row r="1189" spans="1:33" ht="13.8" customHeight="1" thickBot="1">
      <c r="A1189" s="15" t="s">
        <v>1312</v>
      </c>
      <c r="B1189" s="189"/>
      <c r="C1189" s="189"/>
      <c r="D1189" s="189"/>
      <c r="E1189" s="189"/>
      <c r="F1189" s="1786" t="s">
        <v>1258</v>
      </c>
      <c r="G1189" s="1786"/>
      <c r="H1189" s="1786"/>
      <c r="I1189" s="1487"/>
      <c r="J1189" s="1487"/>
      <c r="K1189" s="188"/>
      <c r="L1189" s="188"/>
      <c r="M1189" s="188"/>
      <c r="N1189" s="188"/>
      <c r="O1189" s="188"/>
      <c r="P1189" s="188"/>
      <c r="Q1189" s="188"/>
      <c r="S1189" s="1763" t="s">
        <v>1270</v>
      </c>
      <c r="T1189" s="1763"/>
      <c r="U1189" s="1531">
        <f>'3. Üldiseloomustus'!H61</f>
        <v>343742.79927962355</v>
      </c>
      <c r="V1189" s="1517" t="s">
        <v>1271</v>
      </c>
      <c r="W1189" s="1764" t="str">
        <f>A1188</f>
        <v>Hinnaarvutus 12 kuu andmete alusel (2025)</v>
      </c>
      <c r="X1189" s="1764"/>
      <c r="Y1189" s="1765"/>
      <c r="Z1189" s="1761" t="s">
        <v>1281</v>
      </c>
      <c r="AA1189" s="1761"/>
      <c r="AB1189" s="1761"/>
      <c r="AC1189" s="1762"/>
      <c r="AD1189" s="1760" t="s">
        <v>1282</v>
      </c>
      <c r="AE1189" s="1761"/>
      <c r="AF1189" s="1762"/>
      <c r="AG1189" s="1545" t="s">
        <v>1104</v>
      </c>
    </row>
    <row r="1190" spans="1:33" hidden="1" outlineLevel="1">
      <c r="A1190" s="771" t="s">
        <v>1200</v>
      </c>
      <c r="B1190" s="1308" t="s">
        <v>434</v>
      </c>
      <c r="C1190" s="1308" t="s">
        <v>435</v>
      </c>
      <c r="D1190" s="1309" t="s">
        <v>427</v>
      </c>
      <c r="E1190" s="1310">
        <v>1</v>
      </c>
      <c r="F1190" s="1309" t="s">
        <v>868</v>
      </c>
      <c r="G1190" s="1311">
        <v>1736</v>
      </c>
      <c r="H1190" s="778">
        <f>SUM(I1190:K1190)</f>
        <v>6.7898134893097664E-2</v>
      </c>
      <c r="I1190" s="1489">
        <f>IF(H888&gt;0,$AE$1190/(1000000/((H888/$U$888)*$U$1189)),0)</f>
        <v>6.7898134893097664E-2</v>
      </c>
      <c r="J1190" s="1489"/>
      <c r="K1190" s="1489"/>
      <c r="L1190" s="1310">
        <v>0.5</v>
      </c>
      <c r="M1190" s="772">
        <f>SUM(N1190:P1190)-Q1190</f>
        <v>58.935581087208774</v>
      </c>
      <c r="N1190" s="772">
        <f t="shared" ref="N1190:N1195" si="529">E1190*G1190*I1190*L1190</f>
        <v>58.935581087208774</v>
      </c>
      <c r="O1190" s="773">
        <f t="shared" ref="O1190:O1195" si="530">E1190*G1190*J1190*L1190*10</f>
        <v>0</v>
      </c>
      <c r="P1190" s="773">
        <f>E1190*G1190*K1190*L1190*15</f>
        <v>0</v>
      </c>
      <c r="Q1190" s="1339">
        <v>0</v>
      </c>
      <c r="R1190" s="774"/>
      <c r="S1190" s="1758" t="s">
        <v>1272</v>
      </c>
      <c r="T1190" s="1758"/>
      <c r="U1190" s="1518">
        <f>H1190+H1200+H1204+H1208+H1214+H1220+H1225+H1230+H1241+H1246+H1250+H1256+H1262+H1267+H1272+H1282+H1286+H1290+H1296+H1302+H1307+H1312+H1322+H1326+H1330+H1336+H1342+H1347</f>
        <v>0.54767734802990253</v>
      </c>
      <c r="V1190" s="1519" t="s">
        <v>1273</v>
      </c>
      <c r="W1190" s="1547" t="s">
        <v>1274</v>
      </c>
      <c r="X1190" s="1548">
        <f>IF(U1189&gt;0,U1190*1000000/U1189,0)</f>
        <v>1.5932765695097075</v>
      </c>
      <c r="Y1190" s="1543" t="s">
        <v>1275</v>
      </c>
      <c r="Z1190" s="1758" t="s">
        <v>1272</v>
      </c>
      <c r="AA1190" s="1758"/>
      <c r="AB1190" s="1532">
        <f>U294+U589+U888</f>
        <v>1.55399</v>
      </c>
      <c r="AC1190" s="1533" t="s">
        <v>1273</v>
      </c>
      <c r="AD1190" s="1534" t="s">
        <v>1274</v>
      </c>
      <c r="AE1190" s="1550">
        <f>AVERAGE(X294,X589,X888)</f>
        <v>1.5932765695097073</v>
      </c>
      <c r="AF1190" s="1543" t="s">
        <v>1275</v>
      </c>
      <c r="AG1190" s="1530">
        <f>X1190-AE1190</f>
        <v>0</v>
      </c>
    </row>
    <row r="1191" spans="1:33" ht="13.2" hidden="1" customHeight="1" outlineLevel="1">
      <c r="A1191" s="270" t="s">
        <v>1200</v>
      </c>
      <c r="B1191" s="1312" t="s">
        <v>434</v>
      </c>
      <c r="C1191" s="1312" t="s">
        <v>435</v>
      </c>
      <c r="D1191" s="1313" t="s">
        <v>427</v>
      </c>
      <c r="E1191" s="1314">
        <v>1</v>
      </c>
      <c r="F1191" s="1319" t="s">
        <v>441</v>
      </c>
      <c r="G1191" s="1315">
        <v>609.55999999999995</v>
      </c>
      <c r="H1191" s="237">
        <f t="shared" ref="H1191:H1192" si="531">SUM(I1191:K1191)</f>
        <v>4.5881522215581734E-2</v>
      </c>
      <c r="I1191" s="1490">
        <f>IF(H889&gt;0,$AE$1192/(1000000/((H889/$U$890)*$U$1189)),0)</f>
        <v>4.5881522215581734E-2</v>
      </c>
      <c r="J1191" s="1490"/>
      <c r="K1191" s="1490"/>
      <c r="L1191" s="1314">
        <v>0.5</v>
      </c>
      <c r="M1191" s="223">
        <f t="shared" ref="M1191:M1192" si="532">SUM(N1191:P1191)-Q1191</f>
        <v>13.983770340865</v>
      </c>
      <c r="N1191" s="223">
        <f t="shared" si="529"/>
        <v>13.983770340865</v>
      </c>
      <c r="O1191" s="224">
        <f t="shared" si="530"/>
        <v>0</v>
      </c>
      <c r="P1191" s="224">
        <f t="shared" ref="P1191:P1192" si="533">E1191*G1191*K1191*L1191*15</f>
        <v>0</v>
      </c>
      <c r="Q1191" s="1340">
        <v>0</v>
      </c>
      <c r="S1191" s="1758" t="s">
        <v>871</v>
      </c>
      <c r="T1191" s="1758"/>
      <c r="U1191" s="1523">
        <f>H1242</f>
        <v>0</v>
      </c>
      <c r="V1191" s="1519" t="s">
        <v>1273</v>
      </c>
      <c r="W1191" s="1547" t="s">
        <v>1274</v>
      </c>
      <c r="X1191" s="1548">
        <f>IF(U1189&gt;0,U1191*1000000/U1189,0)</f>
        <v>0</v>
      </c>
      <c r="Y1191" s="1543" t="s">
        <v>1275</v>
      </c>
      <c r="Z1191" s="1758" t="s">
        <v>871</v>
      </c>
      <c r="AA1191" s="1758"/>
      <c r="AB1191" s="1532">
        <f t="shared" ref="AB1191:AB1196" si="534">U295+U590+U889</f>
        <v>0</v>
      </c>
      <c r="AC1191" s="1533" t="s">
        <v>1273</v>
      </c>
      <c r="AD1191" s="1534" t="s">
        <v>1274</v>
      </c>
      <c r="AE1191" s="1550">
        <f t="shared" ref="AE1191:AE1196" si="535">AVERAGE(X295,X590,X889)</f>
        <v>0</v>
      </c>
      <c r="AF1191" s="1543" t="s">
        <v>1275</v>
      </c>
      <c r="AG1191" s="1530">
        <f t="shared" ref="AG1191:AG1196" si="536">X1191-AE1191</f>
        <v>0</v>
      </c>
    </row>
    <row r="1192" spans="1:33" hidden="1" outlineLevel="1">
      <c r="A1192" s="270" t="s">
        <v>1200</v>
      </c>
      <c r="B1192" s="1316" t="s">
        <v>434</v>
      </c>
      <c r="C1192" s="1316" t="s">
        <v>435</v>
      </c>
      <c r="D1192" s="1313" t="s">
        <v>427</v>
      </c>
      <c r="E1192" s="1318">
        <v>1</v>
      </c>
      <c r="F1192" s="1319" t="s">
        <v>442</v>
      </c>
      <c r="G1192" s="1315">
        <v>5052</v>
      </c>
      <c r="H1192" s="238">
        <f t="shared" si="531"/>
        <v>3.0553129016127416E-3</v>
      </c>
      <c r="I1192" s="1490">
        <f>IF(H890&gt;0,$AE$1193/(1000000/((H890/$U$891)*$U$1189)),0)</f>
        <v>3.0553129016127416E-3</v>
      </c>
      <c r="J1192" s="1483"/>
      <c r="K1192" s="1483"/>
      <c r="L1192" s="1318">
        <v>0.5</v>
      </c>
      <c r="M1192" s="233">
        <f t="shared" si="532"/>
        <v>7.7177203894737856</v>
      </c>
      <c r="N1192" s="233">
        <f t="shared" si="529"/>
        <v>7.7177203894737856</v>
      </c>
      <c r="O1192" s="234">
        <f t="shared" si="530"/>
        <v>0</v>
      </c>
      <c r="P1192" s="234">
        <f t="shared" si="533"/>
        <v>0</v>
      </c>
      <c r="Q1192" s="1341">
        <v>0</v>
      </c>
      <c r="S1192" s="1758" t="s">
        <v>1276</v>
      </c>
      <c r="T1192" s="1758"/>
      <c r="U1192" s="1518">
        <f>H1191+H1197+H1198+H1199+H1201+H1205+H1209+H1215+H1221+H1226+H1231+H1236+H1238+H1239+H1240+H1243+H1247+H1251+H1257+H1263+H1268+H1273+H1279+H1280+H1281+H1283+H1287+H1291+H1297+H1303+H1308+H1313+H1319+H1320+H1321+H1323+H1327+H1331+H1337+H1343+H1348</f>
        <v>1.5648622276589594</v>
      </c>
      <c r="V1192" s="1519" t="s">
        <v>1273</v>
      </c>
      <c r="W1192" s="1547" t="s">
        <v>1274</v>
      </c>
      <c r="X1192" s="1548">
        <f>IF(U1189&gt;0,U1192*1000000/U1189,0)</f>
        <v>4.5524218425474423</v>
      </c>
      <c r="Y1192" s="1543" t="s">
        <v>1275</v>
      </c>
      <c r="Z1192" s="1758" t="s">
        <v>1276</v>
      </c>
      <c r="AA1192" s="1758"/>
      <c r="AB1192" s="1532">
        <f t="shared" si="534"/>
        <v>4.5546749999999996</v>
      </c>
      <c r="AC1192" s="1533" t="s">
        <v>1273</v>
      </c>
      <c r="AD1192" s="1534" t="s">
        <v>1274</v>
      </c>
      <c r="AE1192" s="1550">
        <f t="shared" si="535"/>
        <v>4.5524218425474414</v>
      </c>
      <c r="AF1192" s="1543" t="s">
        <v>1275</v>
      </c>
      <c r="AG1192" s="1530">
        <f t="shared" si="536"/>
        <v>0</v>
      </c>
    </row>
    <row r="1193" spans="1:33" hidden="1" outlineLevel="1">
      <c r="A1193" s="270" t="s">
        <v>1200</v>
      </c>
      <c r="B1193" s="1316" t="s">
        <v>434</v>
      </c>
      <c r="C1193" s="1316" t="s">
        <v>435</v>
      </c>
      <c r="D1193" s="1317" t="s">
        <v>427</v>
      </c>
      <c r="E1193" s="1318">
        <v>1</v>
      </c>
      <c r="F1193" s="1319" t="s">
        <v>443</v>
      </c>
      <c r="G1193" s="1315">
        <v>3737</v>
      </c>
      <c r="H1193" s="238">
        <f>SUM(I1193:K1193)</f>
        <v>0.11477672669807562</v>
      </c>
      <c r="I1193" s="1490">
        <f>IF(H891&gt;0,$AE$1194/(1000000/((H891/$U$892)*$U$1189)),0)</f>
        <v>0.11477672669807562</v>
      </c>
      <c r="J1193" s="1483"/>
      <c r="K1193" s="1483"/>
      <c r="L1193" s="1318">
        <v>0.5</v>
      </c>
      <c r="M1193" s="233">
        <f>SUM(N1193:P1193)-Q1193</f>
        <v>214.4603138353543</v>
      </c>
      <c r="N1193" s="233">
        <f t="shared" si="529"/>
        <v>214.4603138353543</v>
      </c>
      <c r="O1193" s="234">
        <f t="shared" si="530"/>
        <v>0</v>
      </c>
      <c r="P1193" s="234">
        <f>E1193*G1193*K1193*L1193*15</f>
        <v>0</v>
      </c>
      <c r="Q1193" s="1341">
        <v>0</v>
      </c>
      <c r="S1193" s="1758" t="s">
        <v>1279</v>
      </c>
      <c r="T1193" s="1758"/>
      <c r="U1193" s="1518">
        <f>H1192+H1196+H1210+H1216+H1222+H1227+H1232+H1237+H1252+H1258+H1264+H1269+H1274+H1278+H1292+H1298+H1304+H1309+H1314+H1318+H1332+H1338+H1344+H1349</f>
        <v>3.9696249262519398E-2</v>
      </c>
      <c r="V1193" s="1519" t="s">
        <v>1273</v>
      </c>
      <c r="W1193" s="1547" t="s">
        <v>1274</v>
      </c>
      <c r="X1193" s="1548">
        <f>IF(U1189&gt;0,U1193*1000000/U1189,0)</f>
        <v>0.1154824169283261</v>
      </c>
      <c r="Y1193" s="1543" t="s">
        <v>1275</v>
      </c>
      <c r="Z1193" s="1758" t="s">
        <v>1279</v>
      </c>
      <c r="AA1193" s="1758"/>
      <c r="AB1193" s="1532">
        <f t="shared" si="534"/>
        <v>0.11329300000000002</v>
      </c>
      <c r="AC1193" s="1533" t="s">
        <v>1273</v>
      </c>
      <c r="AD1193" s="1534" t="s">
        <v>1274</v>
      </c>
      <c r="AE1193" s="1550">
        <f t="shared" si="535"/>
        <v>0.11548241692832613</v>
      </c>
      <c r="AF1193" s="1543" t="s">
        <v>1275</v>
      </c>
      <c r="AG1193" s="1530">
        <f t="shared" si="536"/>
        <v>0</v>
      </c>
    </row>
    <row r="1194" spans="1:33" ht="13.2" hidden="1" customHeight="1" outlineLevel="1">
      <c r="A1194" s="270" t="s">
        <v>1200</v>
      </c>
      <c r="B1194" s="1316" t="s">
        <v>434</v>
      </c>
      <c r="C1194" s="1316" t="s">
        <v>435</v>
      </c>
      <c r="D1194" s="1317" t="s">
        <v>427</v>
      </c>
      <c r="E1194" s="1318">
        <v>1</v>
      </c>
      <c r="F1194" s="1317" t="s">
        <v>444</v>
      </c>
      <c r="G1194" s="1315">
        <v>15889</v>
      </c>
      <c r="H1194" s="238">
        <f>SUM(I1194:K1194)</f>
        <v>1.207514328728734E-2</v>
      </c>
      <c r="I1194" s="1490">
        <f>IF(H892&gt;0,$AE$1195/(1000000/((H892/$U$893)*$U$1189)),0)</f>
        <v>1.207514328728734E-2</v>
      </c>
      <c r="J1194" s="1483"/>
      <c r="K1194" s="1483"/>
      <c r="L1194" s="1318">
        <v>0.5</v>
      </c>
      <c r="M1194" s="233">
        <f>SUM(N1194:P1194)-Q1194</f>
        <v>95.930975845854277</v>
      </c>
      <c r="N1194" s="233">
        <f t="shared" si="529"/>
        <v>95.930975845854277</v>
      </c>
      <c r="O1194" s="234">
        <f t="shared" si="530"/>
        <v>0</v>
      </c>
      <c r="P1194" s="234">
        <f>E1194*G1194*K1194*L1194*15</f>
        <v>0</v>
      </c>
      <c r="Q1194" s="1341">
        <v>0</v>
      </c>
      <c r="S1194" s="1758" t="s">
        <v>1278</v>
      </c>
      <c r="T1194" s="1758"/>
      <c r="U1194" s="1518">
        <f>H1193+H1202+H1206+H1211+H1217+H1223+H1228+H1233+H1244+H1248+H1253+H1259+H1265+H1270+H1275+H1284+H1288+H1293+H1299+H1305+H1310+H1315+H1324+H1328+H1333+H1339+H1345+H1350</f>
        <v>1.2268356061037253</v>
      </c>
      <c r="V1194" s="1519" t="s">
        <v>1273</v>
      </c>
      <c r="W1194" s="1547" t="s">
        <v>1274</v>
      </c>
      <c r="X1194" s="1548">
        <f>IF(U1189&gt;0,U1194*1000000/U1189,0)</f>
        <v>3.5690510715418204</v>
      </c>
      <c r="Y1194" s="1543" t="s">
        <v>1275</v>
      </c>
      <c r="Z1194" s="1758" t="s">
        <v>1278</v>
      </c>
      <c r="AA1194" s="1758"/>
      <c r="AB1194" s="1532">
        <f t="shared" si="534"/>
        <v>3.4620809999999995</v>
      </c>
      <c r="AC1194" s="1533" t="s">
        <v>1273</v>
      </c>
      <c r="AD1194" s="1534" t="s">
        <v>1274</v>
      </c>
      <c r="AE1194" s="1550">
        <f t="shared" si="535"/>
        <v>3.56905107154182</v>
      </c>
      <c r="AF1194" s="1543" t="s">
        <v>1275</v>
      </c>
      <c r="AG1194" s="1530">
        <f t="shared" si="536"/>
        <v>0</v>
      </c>
    </row>
    <row r="1195" spans="1:33" ht="13.2" hidden="1" customHeight="1" outlineLevel="1">
      <c r="A1195" s="270" t="s">
        <v>1200</v>
      </c>
      <c r="B1195" s="1320" t="s">
        <v>434</v>
      </c>
      <c r="C1195" s="1320" t="s">
        <v>435</v>
      </c>
      <c r="D1195" s="1321" t="s">
        <v>427</v>
      </c>
      <c r="E1195" s="1322">
        <v>1</v>
      </c>
      <c r="F1195" s="1324" t="s">
        <v>445</v>
      </c>
      <c r="G1195" s="1323">
        <v>32171</v>
      </c>
      <c r="H1195" s="239">
        <f t="shared" ref="H1195:H1202" si="537">SUM(I1195:K1195)</f>
        <v>2.5143746715120024E-5</v>
      </c>
      <c r="I1195" s="1482">
        <f>IF(H893&gt;0,$AE$1196/(1000000/((H893/$U$894)*$U$1189)),0)</f>
        <v>2.5143746715120024E-5</v>
      </c>
      <c r="J1195" s="1482"/>
      <c r="K1195" s="1482"/>
      <c r="L1195" s="1322">
        <v>0.5</v>
      </c>
      <c r="M1195" s="227">
        <f t="shared" ref="M1195" si="538">SUM(N1195:P1195)-Q1195</f>
        <v>0.40444973778606313</v>
      </c>
      <c r="N1195" s="227">
        <f t="shared" si="529"/>
        <v>0.40444973778606313</v>
      </c>
      <c r="O1195" s="228">
        <f t="shared" si="530"/>
        <v>0</v>
      </c>
      <c r="P1195" s="228">
        <f t="shared" ref="P1195" si="539">E1195*G1195*K1195*L1195*15</f>
        <v>0</v>
      </c>
      <c r="Q1195" s="1342">
        <v>0</v>
      </c>
      <c r="S1195" s="1758" t="s">
        <v>1277</v>
      </c>
      <c r="T1195" s="1758"/>
      <c r="U1195" s="1518">
        <f>H1194+H1203+H1207+H1212+H1218+H1224+H1229+H1234+H1245+H1249+H1254+H1260+H1266+H1271+H1276+H1285+H1289+H1294+H1300+H1306+H1311+H1316+H1325+H1329+H1334+H1340+H1346+H1351</f>
        <v>0.17463678700337043</v>
      </c>
      <c r="V1195" s="1519" t="s">
        <v>1273</v>
      </c>
      <c r="W1195" s="1547" t="s">
        <v>1274</v>
      </c>
      <c r="X1195" s="1548">
        <f>IF(U1189&gt;0,U1195*1000000/U1189,0)</f>
        <v>0.50804493176105514</v>
      </c>
      <c r="Y1195" s="1543" t="s">
        <v>1275</v>
      </c>
      <c r="Z1195" s="1758" t="s">
        <v>1277</v>
      </c>
      <c r="AA1195" s="1758"/>
      <c r="AB1195" s="1532">
        <f t="shared" si="534"/>
        <v>0.49278900000000003</v>
      </c>
      <c r="AC1195" s="1533" t="s">
        <v>1273</v>
      </c>
      <c r="AD1195" s="1534" t="s">
        <v>1274</v>
      </c>
      <c r="AE1195" s="1550">
        <f t="shared" si="535"/>
        <v>0.50804493176105525</v>
      </c>
      <c r="AF1195" s="1543" t="s">
        <v>1275</v>
      </c>
      <c r="AG1195" s="1530">
        <f t="shared" si="536"/>
        <v>0</v>
      </c>
    </row>
    <row r="1196" spans="1:33" ht="13.2" hidden="1" customHeight="1" outlineLevel="1">
      <c r="A1196" s="270" t="s">
        <v>1200</v>
      </c>
      <c r="B1196" s="1320" t="s">
        <v>869</v>
      </c>
      <c r="C1196" s="1320" t="s">
        <v>870</v>
      </c>
      <c r="D1196" s="1321" t="s">
        <v>427</v>
      </c>
      <c r="E1196" s="1322">
        <v>1</v>
      </c>
      <c r="F1196" s="1324" t="s">
        <v>442</v>
      </c>
      <c r="G1196" s="1328">
        <v>5052</v>
      </c>
      <c r="H1196" s="239">
        <f t="shared" si="537"/>
        <v>1.229914910252608E-2</v>
      </c>
      <c r="I1196" s="1482">
        <f>IF(H894&gt;0,$AE$1193/(1000000/((H894/$U$891)*$U$1189)),0)</f>
        <v>1.229914910252608E-2</v>
      </c>
      <c r="J1196" s="1482"/>
      <c r="K1196" s="1482"/>
      <c r="L1196" s="1322">
        <v>0.5</v>
      </c>
      <c r="M1196" s="520">
        <f t="shared" ref="M1196:M1207" si="540">SUM(N1196:P1196)-Q1196</f>
        <v>0</v>
      </c>
      <c r="N1196" s="521">
        <v>0</v>
      </c>
      <c r="O1196" s="522">
        <f t="shared" ref="O1196:O1199" si="541">E1196*G1196*J1196</f>
        <v>0</v>
      </c>
      <c r="P1196" s="522"/>
      <c r="Q1196" s="1342">
        <v>0</v>
      </c>
      <c r="S1196" s="1759" t="s">
        <v>1280</v>
      </c>
      <c r="T1196" s="1759"/>
      <c r="U1196" s="1542">
        <f>H1195+H1213+H1219+H1235+H1255+H1261+H1277+H1295+H1301+H1317+H1335+H1341</f>
        <v>5.5136644582441771E-4</v>
      </c>
      <c r="V1196" s="1525" t="s">
        <v>1273</v>
      </c>
      <c r="W1196" s="1526" t="s">
        <v>1274</v>
      </c>
      <c r="X1196" s="1549">
        <f>IF(U1189&gt;0,U1196*1000000/U1189,0)</f>
        <v>1.6040087151786388E-3</v>
      </c>
      <c r="Y1196" s="1544" t="s">
        <v>1275</v>
      </c>
      <c r="Z1196" s="1759" t="s">
        <v>1280</v>
      </c>
      <c r="AA1196" s="1759"/>
      <c r="AB1196" s="1535">
        <f t="shared" si="534"/>
        <v>1.5530000000000001E-3</v>
      </c>
      <c r="AC1196" s="1536" t="s">
        <v>1273</v>
      </c>
      <c r="AD1196" s="1537" t="s">
        <v>1274</v>
      </c>
      <c r="AE1196" s="1551">
        <f t="shared" si="535"/>
        <v>1.604008715178639E-3</v>
      </c>
      <c r="AF1196" s="1544" t="s">
        <v>1275</v>
      </c>
      <c r="AG1196" s="1546">
        <f t="shared" si="536"/>
        <v>0</v>
      </c>
    </row>
    <row r="1197" spans="1:33" hidden="1" outlineLevel="1">
      <c r="A1197" s="270" t="s">
        <v>1200</v>
      </c>
      <c r="B1197" s="1320" t="s">
        <v>1301</v>
      </c>
      <c r="C1197" s="1320" t="s">
        <v>867</v>
      </c>
      <c r="D1197" s="1321" t="s">
        <v>427</v>
      </c>
      <c r="E1197" s="1322">
        <v>1.5</v>
      </c>
      <c r="F1197" s="1324" t="s">
        <v>441</v>
      </c>
      <c r="G1197" s="1323">
        <v>609.55999999999995</v>
      </c>
      <c r="H1197" s="239">
        <f t="shared" si="537"/>
        <v>0</v>
      </c>
      <c r="I1197" s="1482">
        <f>IF(H895&gt;0,$AE$1192/(1000000/((H895/$U$890)*$U$1189)),0)</f>
        <v>0</v>
      </c>
      <c r="J1197" s="1482"/>
      <c r="K1197" s="1482"/>
      <c r="L1197" s="1322">
        <v>0.5</v>
      </c>
      <c r="M1197" s="520">
        <f t="shared" si="540"/>
        <v>0</v>
      </c>
      <c r="N1197" s="521">
        <v>0</v>
      </c>
      <c r="O1197" s="522">
        <f t="shared" si="541"/>
        <v>0</v>
      </c>
      <c r="P1197" s="522"/>
      <c r="Q1197" s="1342">
        <v>0</v>
      </c>
      <c r="T1197" s="1529" t="s">
        <v>1104</v>
      </c>
      <c r="U1197" s="1530">
        <f>SUM(U1190:U1196)-H1352</f>
        <v>0</v>
      </c>
    </row>
    <row r="1198" spans="1:33" hidden="1" outlineLevel="1">
      <c r="A1198" s="270" t="s">
        <v>1200</v>
      </c>
      <c r="B1198" s="1325" t="s">
        <v>620</v>
      </c>
      <c r="C1198" s="1325" t="s">
        <v>621</v>
      </c>
      <c r="D1198" s="1321" t="s">
        <v>427</v>
      </c>
      <c r="E1198" s="1327">
        <v>1</v>
      </c>
      <c r="F1198" s="1324" t="s">
        <v>441</v>
      </c>
      <c r="G1198" s="1323">
        <v>580.53</v>
      </c>
      <c r="H1198" s="239">
        <f t="shared" ref="H1198:H1199" si="542">SUM(I1198:K1198)</f>
        <v>0</v>
      </c>
      <c r="I1198" s="1482">
        <f>IF(H896&gt;0,$AE$1192/(1000000/((H896/$U$890)*$U$1189)),0)</f>
        <v>0</v>
      </c>
      <c r="J1198" s="1338"/>
      <c r="K1198" s="1338"/>
      <c r="L1198" s="1322">
        <v>0.5</v>
      </c>
      <c r="M1198" s="520">
        <f t="shared" si="540"/>
        <v>0</v>
      </c>
      <c r="N1198" s="521">
        <v>0</v>
      </c>
      <c r="O1198" s="522">
        <f t="shared" si="541"/>
        <v>0</v>
      </c>
      <c r="P1198" s="522"/>
      <c r="Q1198" s="1342">
        <v>0</v>
      </c>
    </row>
    <row r="1199" spans="1:33" hidden="1" outlineLevel="1">
      <c r="A1199" s="270" t="s">
        <v>1200</v>
      </c>
      <c r="B1199" s="1325" t="s">
        <v>622</v>
      </c>
      <c r="C1199" s="1325" t="s">
        <v>619</v>
      </c>
      <c r="D1199" s="1321" t="s">
        <v>427</v>
      </c>
      <c r="E1199" s="1327">
        <v>1</v>
      </c>
      <c r="F1199" s="1324" t="s">
        <v>441</v>
      </c>
      <c r="G1199" s="1323">
        <v>580.53</v>
      </c>
      <c r="H1199" s="239">
        <f t="shared" si="542"/>
        <v>0</v>
      </c>
      <c r="I1199" s="1490">
        <f>IF(H897&gt;0,$AE$1192/(1000000/((H897/$U$890)*$U$1189)),0)</f>
        <v>0</v>
      </c>
      <c r="J1199" s="1338"/>
      <c r="K1199" s="1338"/>
      <c r="L1199" s="1322">
        <v>0.5</v>
      </c>
      <c r="M1199" s="520">
        <f t="shared" si="540"/>
        <v>0</v>
      </c>
      <c r="N1199" s="521">
        <v>0</v>
      </c>
      <c r="O1199" s="522">
        <f t="shared" si="541"/>
        <v>0</v>
      </c>
      <c r="P1199" s="522"/>
      <c r="Q1199" s="1342">
        <v>0</v>
      </c>
    </row>
    <row r="1200" spans="1:33" hidden="1" outlineLevel="1">
      <c r="A1200" s="270" t="s">
        <v>1200</v>
      </c>
      <c r="B1200" s="1316" t="s">
        <v>436</v>
      </c>
      <c r="C1200" s="1316" t="s">
        <v>591</v>
      </c>
      <c r="D1200" s="1317" t="s">
        <v>427</v>
      </c>
      <c r="E1200" s="1318">
        <v>1</v>
      </c>
      <c r="F1200" s="1317" t="s">
        <v>868</v>
      </c>
      <c r="G1200" s="1311">
        <v>1736</v>
      </c>
      <c r="H1200" s="238">
        <f t="shared" si="537"/>
        <v>0</v>
      </c>
      <c r="I1200" s="1489">
        <f>IF(H898&gt;0,$AE$1190/(1000000/((H898/$U$888)*$U$1189)),0)</f>
        <v>0</v>
      </c>
      <c r="J1200" s="1483"/>
      <c r="K1200" s="1483"/>
      <c r="L1200" s="1318">
        <v>0.5</v>
      </c>
      <c r="M1200" s="233">
        <f t="shared" si="540"/>
        <v>0</v>
      </c>
      <c r="N1200" s="233">
        <f t="shared" ref="N1200:N1235" si="543">E1200*G1200*I1200*L1200</f>
        <v>0</v>
      </c>
      <c r="O1200" s="234">
        <f t="shared" ref="O1200:O1235" si="544">E1200*G1200*J1200*L1200*10</f>
        <v>0</v>
      </c>
      <c r="P1200" s="234">
        <f t="shared" ref="P1200:P1207" si="545">E1200*G1200*K1200*L1200*15</f>
        <v>0</v>
      </c>
      <c r="Q1200" s="1341">
        <v>0</v>
      </c>
    </row>
    <row r="1201" spans="1:17" hidden="1" outlineLevel="1">
      <c r="A1201" s="270" t="s">
        <v>1200</v>
      </c>
      <c r="B1201" s="1316" t="s">
        <v>436</v>
      </c>
      <c r="C1201" s="1316" t="s">
        <v>591</v>
      </c>
      <c r="D1201" s="1317" t="s">
        <v>427</v>
      </c>
      <c r="E1201" s="1318">
        <v>1</v>
      </c>
      <c r="F1201" s="1319" t="s">
        <v>441</v>
      </c>
      <c r="G1201" s="1315">
        <v>609.55999999999995</v>
      </c>
      <c r="H1201" s="238">
        <f t="shared" si="537"/>
        <v>0</v>
      </c>
      <c r="I1201" s="1490">
        <f>IF(H899&gt;0,$AE$1192/(1000000/((H899/$U$890)*$U$1189)),0)</f>
        <v>0</v>
      </c>
      <c r="J1201" s="1483"/>
      <c r="K1201" s="1483"/>
      <c r="L1201" s="1318">
        <v>0.5</v>
      </c>
      <c r="M1201" s="233">
        <f t="shared" si="540"/>
        <v>0</v>
      </c>
      <c r="N1201" s="233">
        <f t="shared" si="543"/>
        <v>0</v>
      </c>
      <c r="O1201" s="234">
        <f t="shared" si="544"/>
        <v>0</v>
      </c>
      <c r="P1201" s="234">
        <f t="shared" si="545"/>
        <v>0</v>
      </c>
      <c r="Q1201" s="1341">
        <v>0</v>
      </c>
    </row>
    <row r="1202" spans="1:17" hidden="1" outlineLevel="1">
      <c r="A1202" s="270" t="s">
        <v>1200</v>
      </c>
      <c r="B1202" s="1316" t="s">
        <v>436</v>
      </c>
      <c r="C1202" s="1316" t="s">
        <v>591</v>
      </c>
      <c r="D1202" s="1317" t="s">
        <v>427</v>
      </c>
      <c r="E1202" s="1318">
        <v>1</v>
      </c>
      <c r="F1202" s="1319" t="s">
        <v>443</v>
      </c>
      <c r="G1202" s="1315">
        <v>3737</v>
      </c>
      <c r="H1202" s="238">
        <f t="shared" si="537"/>
        <v>0</v>
      </c>
      <c r="I1202" s="1490">
        <f>IF(H900&gt;0,$AE$1194/(1000000/((H900/$U$892)*$U$1189)),0)</f>
        <v>0</v>
      </c>
      <c r="J1202" s="1483"/>
      <c r="K1202" s="1483"/>
      <c r="L1202" s="1318">
        <v>0.5</v>
      </c>
      <c r="M1202" s="233">
        <f t="shared" si="540"/>
        <v>0</v>
      </c>
      <c r="N1202" s="233">
        <f t="shared" si="543"/>
        <v>0</v>
      </c>
      <c r="O1202" s="234">
        <f t="shared" si="544"/>
        <v>0</v>
      </c>
      <c r="P1202" s="234">
        <f t="shared" si="545"/>
        <v>0</v>
      </c>
      <c r="Q1202" s="1341">
        <v>0</v>
      </c>
    </row>
    <row r="1203" spans="1:17" hidden="1" outlineLevel="1">
      <c r="A1203" s="270" t="s">
        <v>1200</v>
      </c>
      <c r="B1203" s="1320" t="s">
        <v>436</v>
      </c>
      <c r="C1203" s="1320" t="s">
        <v>591</v>
      </c>
      <c r="D1203" s="1321" t="s">
        <v>427</v>
      </c>
      <c r="E1203" s="1322">
        <v>1</v>
      </c>
      <c r="F1203" s="1324" t="s">
        <v>444</v>
      </c>
      <c r="G1203" s="1323">
        <v>15889</v>
      </c>
      <c r="H1203" s="239">
        <f t="shared" ref="H1203:H1207" si="546">SUM(I1203:K1203)</f>
        <v>0</v>
      </c>
      <c r="I1203" s="1490">
        <f>IF(H901&gt;0,$AE$1195/(1000000/((H901/$U$893)*$U$1189)),0)</f>
        <v>0</v>
      </c>
      <c r="J1203" s="1482"/>
      <c r="K1203" s="1482"/>
      <c r="L1203" s="1322">
        <v>0.5</v>
      </c>
      <c r="M1203" s="227">
        <f t="shared" si="540"/>
        <v>0</v>
      </c>
      <c r="N1203" s="227">
        <f t="shared" si="543"/>
        <v>0</v>
      </c>
      <c r="O1203" s="228">
        <f t="shared" si="544"/>
        <v>0</v>
      </c>
      <c r="P1203" s="228">
        <f t="shared" si="545"/>
        <v>0</v>
      </c>
      <c r="Q1203" s="1342">
        <v>0</v>
      </c>
    </row>
    <row r="1204" spans="1:17" hidden="1" outlineLevel="1">
      <c r="A1204" s="270" t="s">
        <v>1200</v>
      </c>
      <c r="B1204" s="1316" t="s">
        <v>437</v>
      </c>
      <c r="C1204" s="1316" t="s">
        <v>592</v>
      </c>
      <c r="D1204" s="1317" t="s">
        <v>427</v>
      </c>
      <c r="E1204" s="1318">
        <v>1</v>
      </c>
      <c r="F1204" s="1317" t="s">
        <v>868</v>
      </c>
      <c r="G1204" s="1311">
        <v>1736</v>
      </c>
      <c r="H1204" s="238">
        <f t="shared" si="546"/>
        <v>4.2841801356740915E-4</v>
      </c>
      <c r="I1204" s="1489">
        <f>IF(H902&gt;0,$AE$1190/(1000000/((H902/$U$888)*$U$1189)),0)</f>
        <v>4.2841801356740915E-4</v>
      </c>
      <c r="J1204" s="1483"/>
      <c r="K1204" s="1483"/>
      <c r="L1204" s="1318">
        <v>0.5</v>
      </c>
      <c r="M1204" s="233">
        <f t="shared" si="540"/>
        <v>0.37186683577651114</v>
      </c>
      <c r="N1204" s="233">
        <f t="shared" si="543"/>
        <v>0.37186683577651114</v>
      </c>
      <c r="O1204" s="234">
        <f t="shared" si="544"/>
        <v>0</v>
      </c>
      <c r="P1204" s="234">
        <f t="shared" si="545"/>
        <v>0</v>
      </c>
      <c r="Q1204" s="1341">
        <v>0</v>
      </c>
    </row>
    <row r="1205" spans="1:17" hidden="1" outlineLevel="1">
      <c r="A1205" s="270" t="s">
        <v>1200</v>
      </c>
      <c r="B1205" s="1316" t="s">
        <v>437</v>
      </c>
      <c r="C1205" s="1316" t="s">
        <v>592</v>
      </c>
      <c r="D1205" s="1317" t="s">
        <v>427</v>
      </c>
      <c r="E1205" s="1318">
        <v>1</v>
      </c>
      <c r="F1205" s="1319" t="s">
        <v>441</v>
      </c>
      <c r="G1205" s="1315">
        <v>609.55999999999995</v>
      </c>
      <c r="H1205" s="238">
        <f t="shared" si="546"/>
        <v>4.3424912859528416E-4</v>
      </c>
      <c r="I1205" s="1490">
        <f>IF(H903&gt;0,$AE$1192/(1000000/((H903/$U$890)*$U$1189)),0)</f>
        <v>4.3424912859528416E-4</v>
      </c>
      <c r="J1205" s="1483"/>
      <c r="K1205" s="1483"/>
      <c r="L1205" s="1318">
        <v>0.5</v>
      </c>
      <c r="M1205" s="233">
        <f t="shared" si="540"/>
        <v>0.1323504494132707</v>
      </c>
      <c r="N1205" s="233">
        <f t="shared" si="543"/>
        <v>0.1323504494132707</v>
      </c>
      <c r="O1205" s="234">
        <f t="shared" si="544"/>
        <v>0</v>
      </c>
      <c r="P1205" s="234">
        <f t="shared" si="545"/>
        <v>0</v>
      </c>
      <c r="Q1205" s="1341">
        <v>0</v>
      </c>
    </row>
    <row r="1206" spans="1:17" hidden="1" outlineLevel="1">
      <c r="A1206" s="270" t="s">
        <v>1200</v>
      </c>
      <c r="B1206" s="1316" t="s">
        <v>437</v>
      </c>
      <c r="C1206" s="1316" t="s">
        <v>592</v>
      </c>
      <c r="D1206" s="1317" t="s">
        <v>427</v>
      </c>
      <c r="E1206" s="1318">
        <v>1</v>
      </c>
      <c r="F1206" s="1319" t="s">
        <v>443</v>
      </c>
      <c r="G1206" s="1315">
        <v>3737</v>
      </c>
      <c r="H1206" s="238">
        <f t="shared" si="546"/>
        <v>9.910223762038164E-4</v>
      </c>
      <c r="I1206" s="1490">
        <f>IF(H904&gt;0,$AE$1194/(1000000/((H904/$U$892)*$U$1189)),0)</f>
        <v>9.910223762038164E-4</v>
      </c>
      <c r="J1206" s="1483"/>
      <c r="K1206" s="1483"/>
      <c r="L1206" s="1318">
        <v>0.5</v>
      </c>
      <c r="M1206" s="233">
        <f t="shared" si="540"/>
        <v>1.8517253099368309</v>
      </c>
      <c r="N1206" s="233">
        <f t="shared" si="543"/>
        <v>1.8517253099368309</v>
      </c>
      <c r="O1206" s="234">
        <f t="shared" si="544"/>
        <v>0</v>
      </c>
      <c r="P1206" s="234">
        <f t="shared" si="545"/>
        <v>0</v>
      </c>
      <c r="Q1206" s="1341">
        <v>0</v>
      </c>
    </row>
    <row r="1207" spans="1:17" hidden="1" outlineLevel="1">
      <c r="A1207" s="270" t="s">
        <v>1200</v>
      </c>
      <c r="B1207" s="1320" t="s">
        <v>437</v>
      </c>
      <c r="C1207" s="1320" t="s">
        <v>592</v>
      </c>
      <c r="D1207" s="1321" t="s">
        <v>427</v>
      </c>
      <c r="E1207" s="1322">
        <v>1</v>
      </c>
      <c r="F1207" s="1324" t="s">
        <v>444</v>
      </c>
      <c r="G1207" s="1323">
        <v>15889</v>
      </c>
      <c r="H1207" s="239">
        <f t="shared" si="546"/>
        <v>1.7523869382127832E-4</v>
      </c>
      <c r="I1207" s="1490">
        <f>IF(H905&gt;0,$AE$1195/(1000000/((H905/$U$893)*$U$1189)),0)</f>
        <v>1.7523869382127832E-4</v>
      </c>
      <c r="J1207" s="1482"/>
      <c r="K1207" s="1482"/>
      <c r="L1207" s="1322">
        <v>0.5</v>
      </c>
      <c r="M1207" s="227">
        <f t="shared" si="540"/>
        <v>1.3921838030631457</v>
      </c>
      <c r="N1207" s="227">
        <f t="shared" si="543"/>
        <v>1.3921838030631457</v>
      </c>
      <c r="O1207" s="228">
        <f t="shared" si="544"/>
        <v>0</v>
      </c>
      <c r="P1207" s="228">
        <f t="shared" si="545"/>
        <v>0</v>
      </c>
      <c r="Q1207" s="1342">
        <v>0</v>
      </c>
    </row>
    <row r="1208" spans="1:17" hidden="1" outlineLevel="1">
      <c r="A1208" s="270" t="s">
        <v>1200</v>
      </c>
      <c r="B1208" s="1316" t="s">
        <v>438</v>
      </c>
      <c r="C1208" s="1316" t="s">
        <v>593</v>
      </c>
      <c r="D1208" s="1317" t="s">
        <v>427</v>
      </c>
      <c r="E1208" s="1318">
        <v>1</v>
      </c>
      <c r="F1208" s="1319" t="s">
        <v>868</v>
      </c>
      <c r="G1208" s="1311">
        <v>1736</v>
      </c>
      <c r="H1208" s="238">
        <f>SUM(I1208:K1208)</f>
        <v>1.0630416204782528E-3</v>
      </c>
      <c r="I1208" s="1489">
        <f>IF(H906&gt;0,$AE$1190/(1000000/((H906/$U$888)*$U$1189)),0)</f>
        <v>1.0630416204782528E-3</v>
      </c>
      <c r="J1208" s="1483"/>
      <c r="K1208" s="1483"/>
      <c r="L1208" s="1318">
        <v>0.5</v>
      </c>
      <c r="M1208" s="233">
        <f>SUM(N1208:P1208)-Q1208</f>
        <v>0.92272012657512348</v>
      </c>
      <c r="N1208" s="233">
        <f t="shared" si="543"/>
        <v>0.92272012657512348</v>
      </c>
      <c r="O1208" s="234">
        <f t="shared" si="544"/>
        <v>0</v>
      </c>
      <c r="P1208" s="234">
        <f>E1208*G1208*K1208*L1208*15</f>
        <v>0</v>
      </c>
      <c r="Q1208" s="1341">
        <v>0</v>
      </c>
    </row>
    <row r="1209" spans="1:17" hidden="1" outlineLevel="1">
      <c r="A1209" s="270" t="s">
        <v>1200</v>
      </c>
      <c r="B1209" s="1316" t="s">
        <v>438</v>
      </c>
      <c r="C1209" s="1316" t="s">
        <v>593</v>
      </c>
      <c r="D1209" s="1317" t="s">
        <v>427</v>
      </c>
      <c r="E1209" s="1318">
        <v>1</v>
      </c>
      <c r="F1209" s="1319" t="s">
        <v>441</v>
      </c>
      <c r="G1209" s="1315">
        <v>609.55999999999995</v>
      </c>
      <c r="H1209" s="238">
        <f t="shared" ref="H1209" si="547">SUM(I1209:K1209)</f>
        <v>5.753800953887516E-4</v>
      </c>
      <c r="I1209" s="1490">
        <f>IF(H907&gt;0,$AE$1192/(1000000/((H907/$U$890)*$U$1189)),0)</f>
        <v>5.753800953887516E-4</v>
      </c>
      <c r="J1209" s="1483"/>
      <c r="K1209" s="1483"/>
      <c r="L1209" s="1318">
        <v>0.5</v>
      </c>
      <c r="M1209" s="233">
        <f t="shared" ref="M1209" si="548">SUM(N1209:P1209)-Q1209</f>
        <v>0.1753643454725837</v>
      </c>
      <c r="N1209" s="233">
        <f t="shared" si="543"/>
        <v>0.1753643454725837</v>
      </c>
      <c r="O1209" s="234">
        <f t="shared" si="544"/>
        <v>0</v>
      </c>
      <c r="P1209" s="234">
        <f t="shared" ref="P1209:P1229" si="549">E1209*G1209*K1209*L1209*15</f>
        <v>0</v>
      </c>
      <c r="Q1209" s="1341">
        <v>0</v>
      </c>
    </row>
    <row r="1210" spans="1:17" hidden="1" outlineLevel="1">
      <c r="A1210" s="270" t="s">
        <v>1200</v>
      </c>
      <c r="B1210" s="1316" t="s">
        <v>438</v>
      </c>
      <c r="C1210" s="1316" t="s">
        <v>593</v>
      </c>
      <c r="D1210" s="1317" t="s">
        <v>427</v>
      </c>
      <c r="E1210" s="1318">
        <v>1</v>
      </c>
      <c r="F1210" s="1319" t="s">
        <v>442</v>
      </c>
      <c r="G1210" s="1315">
        <v>5052</v>
      </c>
      <c r="H1210" s="238">
        <f t="shared" ref="H1210:H1220" si="550">SUM(I1210:K1210)</f>
        <v>7.4750122496319987E-5</v>
      </c>
      <c r="I1210" s="1490">
        <f>IF(H908&gt;0,$AE$1193/(1000000/((H908/$U$891)*$U$1189)),0)</f>
        <v>7.4750122496319987E-5</v>
      </c>
      <c r="J1210" s="1483"/>
      <c r="K1210" s="1483"/>
      <c r="L1210" s="1318">
        <v>0.5</v>
      </c>
      <c r="M1210" s="233">
        <f t="shared" ref="M1210:M1220" si="551">SUM(N1210:P1210)-Q1210</f>
        <v>0.18881880942570428</v>
      </c>
      <c r="N1210" s="233">
        <f t="shared" si="543"/>
        <v>0.18881880942570428</v>
      </c>
      <c r="O1210" s="234">
        <f t="shared" si="544"/>
        <v>0</v>
      </c>
      <c r="P1210" s="234">
        <f t="shared" si="549"/>
        <v>0</v>
      </c>
      <c r="Q1210" s="1341">
        <v>0</v>
      </c>
    </row>
    <row r="1211" spans="1:17" hidden="1" outlineLevel="1">
      <c r="A1211" s="270" t="s">
        <v>1200</v>
      </c>
      <c r="B1211" s="1316" t="s">
        <v>438</v>
      </c>
      <c r="C1211" s="1316" t="s">
        <v>593</v>
      </c>
      <c r="D1211" s="1317" t="s">
        <v>427</v>
      </c>
      <c r="E1211" s="1318">
        <v>1</v>
      </c>
      <c r="F1211" s="1319" t="s">
        <v>443</v>
      </c>
      <c r="G1211" s="1315">
        <v>3737</v>
      </c>
      <c r="H1211" s="238">
        <f t="shared" si="550"/>
        <v>1.7141420001591282E-3</v>
      </c>
      <c r="I1211" s="1490">
        <f>IF(H909&gt;0,$AE$1194/(1000000/((H909/$U$892)*$U$1189)),0)</f>
        <v>1.7141420001591282E-3</v>
      </c>
      <c r="J1211" s="1483"/>
      <c r="K1211" s="1483"/>
      <c r="L1211" s="1318">
        <v>0.5</v>
      </c>
      <c r="M1211" s="233">
        <f t="shared" si="551"/>
        <v>3.202874327297331</v>
      </c>
      <c r="N1211" s="233">
        <f t="shared" si="543"/>
        <v>3.202874327297331</v>
      </c>
      <c r="O1211" s="234">
        <f t="shared" si="544"/>
        <v>0</v>
      </c>
      <c r="P1211" s="234">
        <f t="shared" si="549"/>
        <v>0</v>
      </c>
      <c r="Q1211" s="1341">
        <v>0</v>
      </c>
    </row>
    <row r="1212" spans="1:17" hidden="1" outlineLevel="1">
      <c r="A1212" s="270" t="s">
        <v>1200</v>
      </c>
      <c r="B1212" s="1316" t="s">
        <v>438</v>
      </c>
      <c r="C1212" s="1316" t="s">
        <v>593</v>
      </c>
      <c r="D1212" s="1317" t="s">
        <v>427</v>
      </c>
      <c r="E1212" s="1318">
        <v>1</v>
      </c>
      <c r="F1212" s="1319" t="s">
        <v>444</v>
      </c>
      <c r="G1212" s="1315">
        <v>15889</v>
      </c>
      <c r="H1212" s="238">
        <f t="shared" si="550"/>
        <v>1.9047684111008514E-4</v>
      </c>
      <c r="I1212" s="1490">
        <f>IF(H910&gt;0,$AE$1195/(1000000/((H910/$U$893)*$U$1189)),0)</f>
        <v>1.9047684111008514E-4</v>
      </c>
      <c r="J1212" s="1483"/>
      <c r="K1212" s="1483"/>
      <c r="L1212" s="1318">
        <v>0.5</v>
      </c>
      <c r="M1212" s="233">
        <f t="shared" si="551"/>
        <v>1.5132432641990714</v>
      </c>
      <c r="N1212" s="233">
        <f t="shared" si="543"/>
        <v>1.5132432641990714</v>
      </c>
      <c r="O1212" s="234">
        <f t="shared" si="544"/>
        <v>0</v>
      </c>
      <c r="P1212" s="234">
        <f t="shared" si="549"/>
        <v>0</v>
      </c>
      <c r="Q1212" s="1341">
        <v>0</v>
      </c>
    </row>
    <row r="1213" spans="1:17" hidden="1" outlineLevel="1">
      <c r="A1213" s="270" t="s">
        <v>1200</v>
      </c>
      <c r="B1213" s="1320" t="s">
        <v>438</v>
      </c>
      <c r="C1213" s="1320" t="s">
        <v>593</v>
      </c>
      <c r="D1213" s="1321" t="s">
        <v>427</v>
      </c>
      <c r="E1213" s="1322">
        <v>1</v>
      </c>
      <c r="F1213" s="1324" t="s">
        <v>445</v>
      </c>
      <c r="G1213" s="1323">
        <v>32171</v>
      </c>
      <c r="H1213" s="239">
        <f t="shared" si="550"/>
        <v>8.9799095411142944E-7</v>
      </c>
      <c r="I1213" s="1490">
        <f>IF(H911&gt;0,$AE$1196/(1000000/((H911/$U$894)*$U$1189)),0)</f>
        <v>8.9799095411142944E-7</v>
      </c>
      <c r="J1213" s="1482"/>
      <c r="K1213" s="1482"/>
      <c r="L1213" s="1322">
        <v>0.5</v>
      </c>
      <c r="M1213" s="227">
        <f t="shared" si="551"/>
        <v>1.4444633492359398E-2</v>
      </c>
      <c r="N1213" s="227">
        <f t="shared" si="543"/>
        <v>1.4444633492359398E-2</v>
      </c>
      <c r="O1213" s="228">
        <f t="shared" si="544"/>
        <v>0</v>
      </c>
      <c r="P1213" s="228">
        <f t="shared" si="549"/>
        <v>0</v>
      </c>
      <c r="Q1213" s="1342">
        <v>0</v>
      </c>
    </row>
    <row r="1214" spans="1:17" hidden="1" outlineLevel="1">
      <c r="A1214" s="270" t="s">
        <v>1200</v>
      </c>
      <c r="B1214" s="1316" t="s">
        <v>418</v>
      </c>
      <c r="C1214" s="1316" t="s">
        <v>439</v>
      </c>
      <c r="D1214" s="1317" t="s">
        <v>427</v>
      </c>
      <c r="E1214" s="1318">
        <v>1.5</v>
      </c>
      <c r="F1214" s="1319" t="s">
        <v>868</v>
      </c>
      <c r="G1214" s="1311">
        <v>1736</v>
      </c>
      <c r="H1214" s="238">
        <f t="shared" si="550"/>
        <v>4.4487679791281209E-2</v>
      </c>
      <c r="I1214" s="1489">
        <f>IF(H912&gt;0,$AE$1190/(1000000/((H912/$U$888)*$U$1189)),0)</f>
        <v>4.4487679791281209E-2</v>
      </c>
      <c r="J1214" s="1483"/>
      <c r="K1214" s="1483"/>
      <c r="L1214" s="1318">
        <v>0.5</v>
      </c>
      <c r="M1214" s="233">
        <f t="shared" si="551"/>
        <v>57.922959088248135</v>
      </c>
      <c r="N1214" s="233">
        <f t="shared" si="543"/>
        <v>57.922959088248135</v>
      </c>
      <c r="O1214" s="234">
        <f t="shared" si="544"/>
        <v>0</v>
      </c>
      <c r="P1214" s="234">
        <f t="shared" si="549"/>
        <v>0</v>
      </c>
      <c r="Q1214" s="1341">
        <v>0</v>
      </c>
    </row>
    <row r="1215" spans="1:17" hidden="1" outlineLevel="1">
      <c r="A1215" s="270" t="s">
        <v>1200</v>
      </c>
      <c r="B1215" s="1316" t="s">
        <v>418</v>
      </c>
      <c r="C1215" s="1316" t="s">
        <v>439</v>
      </c>
      <c r="D1215" s="1317" t="s">
        <v>427</v>
      </c>
      <c r="E1215" s="1318">
        <v>1.5</v>
      </c>
      <c r="F1215" s="1319" t="s">
        <v>441</v>
      </c>
      <c r="G1215" s="1315">
        <v>609.55999999999995</v>
      </c>
      <c r="H1215" s="238">
        <f t="shared" si="550"/>
        <v>2.9005256973923341E-2</v>
      </c>
      <c r="I1215" s="1490">
        <f>IF(H913&gt;0,$AE$1192/(1000000/((H913/$U$890)*$U$1189)),0)</f>
        <v>2.9005256973923341E-2</v>
      </c>
      <c r="J1215" s="1483"/>
      <c r="K1215" s="1483"/>
      <c r="L1215" s="1318">
        <v>0.5</v>
      </c>
      <c r="M1215" s="233">
        <f t="shared" si="551"/>
        <v>13.260333330768534</v>
      </c>
      <c r="N1215" s="233">
        <f t="shared" si="543"/>
        <v>13.260333330768534</v>
      </c>
      <c r="O1215" s="234">
        <f t="shared" si="544"/>
        <v>0</v>
      </c>
      <c r="P1215" s="234">
        <f t="shared" si="549"/>
        <v>0</v>
      </c>
      <c r="Q1215" s="1341">
        <v>0</v>
      </c>
    </row>
    <row r="1216" spans="1:17" hidden="1" outlineLevel="1">
      <c r="A1216" s="270" t="s">
        <v>1200</v>
      </c>
      <c r="B1216" s="1316" t="s">
        <v>418</v>
      </c>
      <c r="C1216" s="1316" t="s">
        <v>439</v>
      </c>
      <c r="D1216" s="1317" t="s">
        <v>427</v>
      </c>
      <c r="E1216" s="1318">
        <v>1.5</v>
      </c>
      <c r="F1216" s="1319" t="s">
        <v>442</v>
      </c>
      <c r="G1216" s="1315">
        <v>5052</v>
      </c>
      <c r="H1216" s="238">
        <f t="shared" si="550"/>
        <v>1.8585240982769242E-3</v>
      </c>
      <c r="I1216" s="1490">
        <f>IF(H914&gt;0,$AE$1193/(1000000/((H914/$U$891)*$U$1189)),0)</f>
        <v>1.8585240982769242E-3</v>
      </c>
      <c r="J1216" s="1483"/>
      <c r="K1216" s="1483"/>
      <c r="L1216" s="1318">
        <v>0.5</v>
      </c>
      <c r="M1216" s="233">
        <f t="shared" si="551"/>
        <v>7.0419478083712654</v>
      </c>
      <c r="N1216" s="233">
        <f t="shared" si="543"/>
        <v>7.0419478083712654</v>
      </c>
      <c r="O1216" s="234">
        <f t="shared" si="544"/>
        <v>0</v>
      </c>
      <c r="P1216" s="234">
        <f t="shared" si="549"/>
        <v>0</v>
      </c>
      <c r="Q1216" s="1341">
        <v>0</v>
      </c>
    </row>
    <row r="1217" spans="1:18" hidden="1" outlineLevel="1">
      <c r="A1217" s="270" t="s">
        <v>1200</v>
      </c>
      <c r="B1217" s="1316" t="s">
        <v>418</v>
      </c>
      <c r="C1217" s="1316" t="s">
        <v>439</v>
      </c>
      <c r="D1217" s="1317" t="s">
        <v>427</v>
      </c>
      <c r="E1217" s="1318">
        <v>1.5</v>
      </c>
      <c r="F1217" s="1319" t="s">
        <v>443</v>
      </c>
      <c r="G1217" s="1315">
        <v>3737</v>
      </c>
      <c r="H1217" s="238">
        <f t="shared" si="550"/>
        <v>3.0229449580951136E-2</v>
      </c>
      <c r="I1217" s="1490">
        <f>IF(H915&gt;0,$AE$1194/(1000000/((H915/$U$892)*$U$1189)),0)</f>
        <v>3.0229449580951136E-2</v>
      </c>
      <c r="J1217" s="1483"/>
      <c r="K1217" s="1483"/>
      <c r="L1217" s="1318">
        <v>0.5</v>
      </c>
      <c r="M1217" s="233">
        <f t="shared" si="551"/>
        <v>84.725589813010799</v>
      </c>
      <c r="N1217" s="233">
        <f t="shared" si="543"/>
        <v>84.725589813010799</v>
      </c>
      <c r="O1217" s="234">
        <f t="shared" si="544"/>
        <v>0</v>
      </c>
      <c r="P1217" s="234">
        <f t="shared" si="549"/>
        <v>0</v>
      </c>
      <c r="Q1217" s="1341">
        <v>0</v>
      </c>
    </row>
    <row r="1218" spans="1:18" hidden="1" outlineLevel="1">
      <c r="A1218" s="270" t="s">
        <v>1200</v>
      </c>
      <c r="B1218" s="1316" t="s">
        <v>418</v>
      </c>
      <c r="C1218" s="1316" t="s">
        <v>439</v>
      </c>
      <c r="D1218" s="1317" t="s">
        <v>427</v>
      </c>
      <c r="E1218" s="1318">
        <v>1.5</v>
      </c>
      <c r="F1218" s="1319" t="s">
        <v>444</v>
      </c>
      <c r="G1218" s="1315">
        <v>15889</v>
      </c>
      <c r="H1218" s="238">
        <f t="shared" si="550"/>
        <v>4.499607206566239E-3</v>
      </c>
      <c r="I1218" s="1490">
        <f>IF(H916&gt;0,$AE$1195/(1000000/((H916/$U$893)*$U$1189)),0)</f>
        <v>4.499607206566239E-3</v>
      </c>
      <c r="J1218" s="1483"/>
      <c r="K1218" s="1483"/>
      <c r="L1218" s="1318">
        <v>0.5</v>
      </c>
      <c r="M1218" s="233">
        <f t="shared" si="551"/>
        <v>53.620694178848225</v>
      </c>
      <c r="N1218" s="233">
        <f t="shared" si="543"/>
        <v>53.620694178848225</v>
      </c>
      <c r="O1218" s="234">
        <f t="shared" si="544"/>
        <v>0</v>
      </c>
      <c r="P1218" s="234">
        <f t="shared" si="549"/>
        <v>0</v>
      </c>
      <c r="Q1218" s="1341">
        <v>0</v>
      </c>
    </row>
    <row r="1219" spans="1:18" hidden="1" outlineLevel="1">
      <c r="A1219" s="270" t="s">
        <v>1200</v>
      </c>
      <c r="B1219" s="1320" t="s">
        <v>418</v>
      </c>
      <c r="C1219" s="1320" t="s">
        <v>439</v>
      </c>
      <c r="D1219" s="1321" t="s">
        <v>427</v>
      </c>
      <c r="E1219" s="1322">
        <v>1.5</v>
      </c>
      <c r="F1219" s="1324" t="s">
        <v>445</v>
      </c>
      <c r="G1219" s="1323">
        <v>32171</v>
      </c>
      <c r="H1219" s="239">
        <f t="shared" si="550"/>
        <v>1.1673882403448582E-4</v>
      </c>
      <c r="I1219" s="1490">
        <f>IF(H917&gt;0,$AE$1196/(1000000/((H917/$U$894)*$U$1189)),0)</f>
        <v>1.1673882403448582E-4</v>
      </c>
      <c r="J1219" s="1482"/>
      <c r="K1219" s="1482"/>
      <c r="L1219" s="1322">
        <v>0.5</v>
      </c>
      <c r="M1219" s="227">
        <f t="shared" si="551"/>
        <v>2.8167035310100825</v>
      </c>
      <c r="N1219" s="227">
        <f t="shared" si="543"/>
        <v>2.8167035310100825</v>
      </c>
      <c r="O1219" s="228">
        <f t="shared" si="544"/>
        <v>0</v>
      </c>
      <c r="P1219" s="228">
        <f t="shared" si="549"/>
        <v>0</v>
      </c>
      <c r="Q1219" s="1342">
        <v>0</v>
      </c>
      <c r="R1219" s="177"/>
    </row>
    <row r="1220" spans="1:18" hidden="1" outlineLevel="1">
      <c r="A1220" s="270" t="s">
        <v>1200</v>
      </c>
      <c r="B1220" s="1316" t="s">
        <v>411</v>
      </c>
      <c r="C1220" s="1316" t="s">
        <v>440</v>
      </c>
      <c r="D1220" s="1317" t="s">
        <v>427</v>
      </c>
      <c r="E1220" s="1318">
        <v>1.5</v>
      </c>
      <c r="F1220" s="1319" t="s">
        <v>868</v>
      </c>
      <c r="G1220" s="1311">
        <v>1736</v>
      </c>
      <c r="H1220" s="238">
        <f t="shared" si="550"/>
        <v>8.841417906369169E-4</v>
      </c>
      <c r="I1220" s="1489">
        <f>IF(H918&gt;0,$AE$1190/(1000000/((H918/$U$888)*$U$1189)),0)</f>
        <v>8.841417906369169E-4</v>
      </c>
      <c r="J1220" s="1483"/>
      <c r="K1220" s="1483"/>
      <c r="L1220" s="1318">
        <v>0.5</v>
      </c>
      <c r="M1220" s="233">
        <f t="shared" si="551"/>
        <v>1.1511526114092658</v>
      </c>
      <c r="N1220" s="233">
        <f t="shared" si="543"/>
        <v>1.1511526114092658</v>
      </c>
      <c r="O1220" s="234">
        <f t="shared" si="544"/>
        <v>0</v>
      </c>
      <c r="P1220" s="234">
        <f t="shared" si="549"/>
        <v>0</v>
      </c>
      <c r="Q1220" s="1341">
        <v>0</v>
      </c>
    </row>
    <row r="1221" spans="1:18" hidden="1" outlineLevel="1">
      <c r="A1221" s="270" t="s">
        <v>1200</v>
      </c>
      <c r="B1221" s="1316" t="s">
        <v>411</v>
      </c>
      <c r="C1221" s="1316" t="s">
        <v>440</v>
      </c>
      <c r="D1221" s="1317" t="s">
        <v>427</v>
      </c>
      <c r="E1221" s="1318">
        <v>1.5</v>
      </c>
      <c r="F1221" s="1317" t="s">
        <v>441</v>
      </c>
      <c r="G1221" s="1315">
        <v>609.55999999999995</v>
      </c>
      <c r="H1221" s="238">
        <f t="shared" ref="H1221" si="552">SUM(I1221:K1221)</f>
        <v>1.3864954320149431E-3</v>
      </c>
      <c r="I1221" s="1490">
        <f>IF(H919&gt;0,$AE$1192/(1000000/((H919/$U$890)*$U$1189)),0)</f>
        <v>1.3864954320149431E-3</v>
      </c>
      <c r="J1221" s="1483"/>
      <c r="K1221" s="1483"/>
      <c r="L1221" s="1318">
        <v>0.5</v>
      </c>
      <c r="M1221" s="233">
        <f t="shared" ref="M1221:M1229" si="553">SUM(N1221:P1221)-Q1221</f>
        <v>0.63386411665427145</v>
      </c>
      <c r="N1221" s="233">
        <f t="shared" si="543"/>
        <v>0.63386411665427145</v>
      </c>
      <c r="O1221" s="234">
        <f t="shared" si="544"/>
        <v>0</v>
      </c>
      <c r="P1221" s="234">
        <f t="shared" si="549"/>
        <v>0</v>
      </c>
      <c r="Q1221" s="1341">
        <v>0</v>
      </c>
    </row>
    <row r="1222" spans="1:18" hidden="1" outlineLevel="1">
      <c r="A1222" s="270" t="s">
        <v>1200</v>
      </c>
      <c r="B1222" s="1316" t="s">
        <v>411</v>
      </c>
      <c r="C1222" s="1316" t="s">
        <v>440</v>
      </c>
      <c r="D1222" s="1317" t="s">
        <v>427</v>
      </c>
      <c r="E1222" s="1318">
        <v>1.5</v>
      </c>
      <c r="F1222" s="1319" t="s">
        <v>442</v>
      </c>
      <c r="G1222" s="1315">
        <v>5052</v>
      </c>
      <c r="H1222" s="238">
        <f>SUM(I1222:K1222)</f>
        <v>0</v>
      </c>
      <c r="I1222" s="1490">
        <f>IF(H920&gt;0,$AE$1193/(1000000/((H920/$U$891)*$U$1189)),0)</f>
        <v>0</v>
      </c>
      <c r="J1222" s="1483"/>
      <c r="K1222" s="1483"/>
      <c r="L1222" s="1318">
        <v>0.5</v>
      </c>
      <c r="M1222" s="233">
        <f t="shared" si="553"/>
        <v>0</v>
      </c>
      <c r="N1222" s="233">
        <f t="shared" si="543"/>
        <v>0</v>
      </c>
      <c r="O1222" s="234">
        <f t="shared" si="544"/>
        <v>0</v>
      </c>
      <c r="P1222" s="234">
        <f t="shared" si="549"/>
        <v>0</v>
      </c>
      <c r="Q1222" s="1341">
        <v>0</v>
      </c>
    </row>
    <row r="1223" spans="1:18" hidden="1" outlineLevel="1">
      <c r="A1223" s="270" t="s">
        <v>1200</v>
      </c>
      <c r="B1223" s="1316" t="s">
        <v>411</v>
      </c>
      <c r="C1223" s="1316" t="s">
        <v>440</v>
      </c>
      <c r="D1223" s="1317" t="s">
        <v>427</v>
      </c>
      <c r="E1223" s="1318">
        <v>1.5</v>
      </c>
      <c r="F1223" s="1319" t="s">
        <v>443</v>
      </c>
      <c r="G1223" s="1315">
        <v>3737</v>
      </c>
      <c r="H1223" s="238">
        <f t="shared" ref="H1223:H1229" si="554">SUM(I1223:K1223)</f>
        <v>3.1157307893616686E-3</v>
      </c>
      <c r="I1223" s="1490">
        <f>IF(H921&gt;0,$AE$1194/(1000000/((H921/$U$892)*$U$1189)),0)</f>
        <v>3.1157307893616686E-3</v>
      </c>
      <c r="J1223" s="1483"/>
      <c r="K1223" s="1483"/>
      <c r="L1223" s="1318">
        <v>0.5</v>
      </c>
      <c r="M1223" s="233">
        <f t="shared" si="553"/>
        <v>8.7326144698834174</v>
      </c>
      <c r="N1223" s="233">
        <f t="shared" si="543"/>
        <v>8.7326144698834174</v>
      </c>
      <c r="O1223" s="234">
        <f t="shared" si="544"/>
        <v>0</v>
      </c>
      <c r="P1223" s="234">
        <f t="shared" si="549"/>
        <v>0</v>
      </c>
      <c r="Q1223" s="1341">
        <v>0</v>
      </c>
    </row>
    <row r="1224" spans="1:18" hidden="1" outlineLevel="1">
      <c r="A1224" s="270" t="s">
        <v>1200</v>
      </c>
      <c r="B1224" s="1320" t="s">
        <v>411</v>
      </c>
      <c r="C1224" s="1320" t="s">
        <v>440</v>
      </c>
      <c r="D1224" s="1321" t="s">
        <v>427</v>
      </c>
      <c r="E1224" s="1322">
        <v>1.5</v>
      </c>
      <c r="F1224" s="1324" t="s">
        <v>444</v>
      </c>
      <c r="G1224" s="1323">
        <v>15889</v>
      </c>
      <c r="H1224" s="239">
        <f t="shared" si="554"/>
        <v>2.2857220933210216E-4</v>
      </c>
      <c r="I1224" s="1490">
        <f>IF(H922&gt;0,$AE$1195/(1000000/((H922/$U$893)*$U$1189)),0)</f>
        <v>2.2857220933210216E-4</v>
      </c>
      <c r="J1224" s="1482"/>
      <c r="K1224" s="1482"/>
      <c r="L1224" s="1322">
        <v>0.5</v>
      </c>
      <c r="M1224" s="227">
        <f t="shared" si="553"/>
        <v>2.7238378755583286</v>
      </c>
      <c r="N1224" s="227">
        <f t="shared" si="543"/>
        <v>2.7238378755583286</v>
      </c>
      <c r="O1224" s="228">
        <f t="shared" si="544"/>
        <v>0</v>
      </c>
      <c r="P1224" s="228">
        <f t="shared" si="549"/>
        <v>0</v>
      </c>
      <c r="Q1224" s="1342">
        <v>0</v>
      </c>
    </row>
    <row r="1225" spans="1:18" hidden="1" outlineLevel="1">
      <c r="A1225" s="270" t="s">
        <v>1200</v>
      </c>
      <c r="B1225" s="1316" t="s">
        <v>409</v>
      </c>
      <c r="C1225" s="1316" t="s">
        <v>594</v>
      </c>
      <c r="D1225" s="1317" t="s">
        <v>427</v>
      </c>
      <c r="E1225" s="1318">
        <v>1</v>
      </c>
      <c r="F1225" s="1319" t="s">
        <v>868</v>
      </c>
      <c r="G1225" s="1311">
        <v>1736</v>
      </c>
      <c r="H1225" s="238">
        <f t="shared" si="554"/>
        <v>7.7962662688750497E-4</v>
      </c>
      <c r="I1225" s="1489">
        <f>IF(H923&gt;0,$AE$1190/(1000000/((H923/$U$888)*$U$1189)),0)</f>
        <v>7.7962662688750497E-4</v>
      </c>
      <c r="J1225" s="1483"/>
      <c r="K1225" s="1483"/>
      <c r="L1225" s="1318">
        <v>0.5</v>
      </c>
      <c r="M1225" s="233">
        <f t="shared" si="553"/>
        <v>0.67671591213835436</v>
      </c>
      <c r="N1225" s="233">
        <f t="shared" si="543"/>
        <v>0.67671591213835436</v>
      </c>
      <c r="O1225" s="234">
        <f t="shared" si="544"/>
        <v>0</v>
      </c>
      <c r="P1225" s="234">
        <f t="shared" si="549"/>
        <v>0</v>
      </c>
      <c r="Q1225" s="1341">
        <v>0</v>
      </c>
    </row>
    <row r="1226" spans="1:18" hidden="1" outlineLevel="1">
      <c r="A1226" s="270" t="s">
        <v>1200</v>
      </c>
      <c r="B1226" s="1316" t="s">
        <v>409</v>
      </c>
      <c r="C1226" s="1316" t="s">
        <v>594</v>
      </c>
      <c r="D1226" s="1317" t="s">
        <v>427</v>
      </c>
      <c r="E1226" s="1318">
        <v>1</v>
      </c>
      <c r="F1226" s="1317" t="s">
        <v>441</v>
      </c>
      <c r="G1226" s="1315">
        <v>609.55999999999995</v>
      </c>
      <c r="H1226" s="238">
        <f t="shared" si="554"/>
        <v>5.8390998898615884E-3</v>
      </c>
      <c r="I1226" s="1490">
        <f>IF(H924&gt;0,$AE$1192/(1000000/((H924/$U$890)*$U$1189)),0)</f>
        <v>5.8390998898615884E-3</v>
      </c>
      <c r="J1226" s="1483"/>
      <c r="K1226" s="1483"/>
      <c r="L1226" s="1318">
        <v>0.5</v>
      </c>
      <c r="M1226" s="233">
        <f t="shared" si="553"/>
        <v>1.7796408644320147</v>
      </c>
      <c r="N1226" s="233">
        <f t="shared" si="543"/>
        <v>1.7796408644320147</v>
      </c>
      <c r="O1226" s="234">
        <f t="shared" si="544"/>
        <v>0</v>
      </c>
      <c r="P1226" s="234">
        <f t="shared" si="549"/>
        <v>0</v>
      </c>
      <c r="Q1226" s="1341">
        <v>0</v>
      </c>
    </row>
    <row r="1227" spans="1:18" hidden="1" outlineLevel="1">
      <c r="A1227" s="270" t="s">
        <v>1200</v>
      </c>
      <c r="B1227" s="1316" t="s">
        <v>409</v>
      </c>
      <c r="C1227" s="1316" t="s">
        <v>594</v>
      </c>
      <c r="D1227" s="1317" t="s">
        <v>427</v>
      </c>
      <c r="E1227" s="1318">
        <v>1</v>
      </c>
      <c r="F1227" s="1319" t="s">
        <v>442</v>
      </c>
      <c r="G1227" s="1315">
        <v>5052</v>
      </c>
      <c r="H1227" s="238">
        <f t="shared" si="554"/>
        <v>0</v>
      </c>
      <c r="I1227" s="1490">
        <f>IF(H925&gt;0,$AE$1193/(1000000/((H925/$U$891)*$U$1189)),0)</f>
        <v>0</v>
      </c>
      <c r="J1227" s="1483"/>
      <c r="K1227" s="1483"/>
      <c r="L1227" s="1318">
        <v>0.5</v>
      </c>
      <c r="M1227" s="233">
        <f t="shared" si="553"/>
        <v>0</v>
      </c>
      <c r="N1227" s="233">
        <f t="shared" si="543"/>
        <v>0</v>
      </c>
      <c r="O1227" s="234">
        <f t="shared" si="544"/>
        <v>0</v>
      </c>
      <c r="P1227" s="234">
        <f t="shared" si="549"/>
        <v>0</v>
      </c>
      <c r="Q1227" s="1341">
        <v>0</v>
      </c>
    </row>
    <row r="1228" spans="1:18" hidden="1" outlineLevel="1">
      <c r="A1228" s="270" t="s">
        <v>1200</v>
      </c>
      <c r="B1228" s="1316" t="s">
        <v>409</v>
      </c>
      <c r="C1228" s="1316" t="s">
        <v>594</v>
      </c>
      <c r="D1228" s="1317" t="s">
        <v>427</v>
      </c>
      <c r="E1228" s="1318">
        <v>1</v>
      </c>
      <c r="F1228" s="1319" t="s">
        <v>443</v>
      </c>
      <c r="G1228" s="1315">
        <v>3737</v>
      </c>
      <c r="H1228" s="238">
        <f t="shared" si="554"/>
        <v>2.8706977842563289E-3</v>
      </c>
      <c r="I1228" s="1490">
        <f>IF(H926&gt;0,$AE$1194/(1000000/((H926/$U$892)*$U$1189)),0)</f>
        <v>2.8706977842563289E-3</v>
      </c>
      <c r="J1228" s="1483"/>
      <c r="K1228" s="1483"/>
      <c r="L1228" s="1318">
        <v>0.5</v>
      </c>
      <c r="M1228" s="235">
        <f t="shared" si="553"/>
        <v>5.3638988098829508</v>
      </c>
      <c r="N1228" s="233">
        <f t="shared" si="543"/>
        <v>5.3638988098829508</v>
      </c>
      <c r="O1228" s="234">
        <f t="shared" si="544"/>
        <v>0</v>
      </c>
      <c r="P1228" s="234">
        <f t="shared" si="549"/>
        <v>0</v>
      </c>
      <c r="Q1228" s="1341">
        <v>0</v>
      </c>
    </row>
    <row r="1229" spans="1:18" hidden="1" outlineLevel="1">
      <c r="A1229" s="191" t="s">
        <v>1200</v>
      </c>
      <c r="B1229" s="1320" t="s">
        <v>409</v>
      </c>
      <c r="C1229" s="1320" t="s">
        <v>594</v>
      </c>
      <c r="D1229" s="1321" t="s">
        <v>427</v>
      </c>
      <c r="E1229" s="1322">
        <v>1</v>
      </c>
      <c r="F1229" s="1324" t="s">
        <v>444</v>
      </c>
      <c r="G1229" s="1323">
        <v>15889</v>
      </c>
      <c r="H1229" s="239">
        <f t="shared" si="554"/>
        <v>1.8829996292596987E-4</v>
      </c>
      <c r="I1229" s="1490">
        <f>IF(H927&gt;0,$AE$1195/(1000000/((H927/$U$893)*$U$1189)),0)</f>
        <v>1.8829996292596987E-4</v>
      </c>
      <c r="J1229" s="1482"/>
      <c r="K1229" s="1482"/>
      <c r="L1229" s="1322">
        <v>0.5</v>
      </c>
      <c r="M1229" s="267">
        <f t="shared" si="553"/>
        <v>1.4959490554653676</v>
      </c>
      <c r="N1229" s="227">
        <f t="shared" si="543"/>
        <v>1.4959490554653676</v>
      </c>
      <c r="O1229" s="228">
        <f t="shared" si="544"/>
        <v>0</v>
      </c>
      <c r="P1229" s="228">
        <f t="shared" si="549"/>
        <v>0</v>
      </c>
      <c r="Q1229" s="1342">
        <v>0</v>
      </c>
      <c r="R1229" s="512">
        <f>SUM(M1190:M1229)</f>
        <v>643.14430460687515</v>
      </c>
    </row>
    <row r="1230" spans="1:18" hidden="1" outlineLevel="1">
      <c r="A1230" s="270" t="s">
        <v>1200</v>
      </c>
      <c r="B1230" s="1308" t="s">
        <v>434</v>
      </c>
      <c r="C1230" s="1308" t="s">
        <v>435</v>
      </c>
      <c r="D1230" s="1309" t="s">
        <v>431</v>
      </c>
      <c r="E1230" s="1310">
        <v>1</v>
      </c>
      <c r="F1230" s="1309" t="s">
        <v>868</v>
      </c>
      <c r="G1230" s="1311">
        <v>1736</v>
      </c>
      <c r="H1230" s="778">
        <f>SUM(I1230:K1230)</f>
        <v>3.629783389675522E-2</v>
      </c>
      <c r="I1230" s="1489">
        <f>IF(H928&gt;0,$AE$1190/(1000000/((H928/$U$888)*$U$1189)),0)</f>
        <v>3.629783389675522E-2</v>
      </c>
      <c r="J1230" s="1489"/>
      <c r="K1230" s="1489"/>
      <c r="L1230" s="1310">
        <v>0.5</v>
      </c>
      <c r="M1230" s="772">
        <f>SUM(N1230:P1230)-Q1230</f>
        <v>31.506519822383531</v>
      </c>
      <c r="N1230" s="772">
        <f t="shared" si="543"/>
        <v>31.506519822383531</v>
      </c>
      <c r="O1230" s="773">
        <f t="shared" si="544"/>
        <v>0</v>
      </c>
      <c r="P1230" s="773">
        <f>E1230*G1230*K1230*L1230*15</f>
        <v>0</v>
      </c>
      <c r="Q1230" s="1339">
        <v>0</v>
      </c>
      <c r="R1230" s="774"/>
    </row>
    <row r="1231" spans="1:18" hidden="1" outlineLevel="1">
      <c r="A1231" s="270" t="s">
        <v>1200</v>
      </c>
      <c r="B1231" s="1312" t="s">
        <v>434</v>
      </c>
      <c r="C1231" s="1312" t="s">
        <v>435</v>
      </c>
      <c r="D1231" s="1313" t="s">
        <v>431</v>
      </c>
      <c r="E1231" s="1314">
        <v>1</v>
      </c>
      <c r="F1231" s="1319" t="s">
        <v>441</v>
      </c>
      <c r="G1231" s="1315">
        <v>609.55999999999995</v>
      </c>
      <c r="H1231" s="237">
        <f t="shared" ref="H1231:H1232" si="555">SUM(I1231:K1231)</f>
        <v>3.9146525016368214E-2</v>
      </c>
      <c r="I1231" s="1490">
        <f>IF(H929&gt;0,$AE$1192/(1000000/((H929/$U$890)*$U$1189)),0)</f>
        <v>3.9146525016368214E-2</v>
      </c>
      <c r="J1231" s="1490"/>
      <c r="K1231" s="1490"/>
      <c r="L1231" s="1314">
        <v>0.5</v>
      </c>
      <c r="M1231" s="223">
        <f t="shared" ref="M1231:M1232" si="556">SUM(N1231:P1231)-Q1231</f>
        <v>11.931077894488704</v>
      </c>
      <c r="N1231" s="223">
        <f t="shared" si="543"/>
        <v>11.931077894488704</v>
      </c>
      <c r="O1231" s="224">
        <f t="shared" si="544"/>
        <v>0</v>
      </c>
      <c r="P1231" s="224">
        <f t="shared" ref="P1231:P1232" si="557">E1231*G1231*K1231*L1231*15</f>
        <v>0</v>
      </c>
      <c r="Q1231" s="1340">
        <v>0</v>
      </c>
    </row>
    <row r="1232" spans="1:18" hidden="1" outlineLevel="1">
      <c r="A1232" s="270" t="s">
        <v>1200</v>
      </c>
      <c r="B1232" s="1316" t="s">
        <v>434</v>
      </c>
      <c r="C1232" s="1316" t="s">
        <v>435</v>
      </c>
      <c r="D1232" s="1313" t="s">
        <v>431</v>
      </c>
      <c r="E1232" s="1318">
        <v>1</v>
      </c>
      <c r="F1232" s="1319" t="s">
        <v>442</v>
      </c>
      <c r="G1232" s="1315">
        <v>5052</v>
      </c>
      <c r="H1232" s="238">
        <f t="shared" si="555"/>
        <v>0</v>
      </c>
      <c r="I1232" s="1490">
        <f>IF(H930&gt;0,$AE$1193/(1000000/((H930/$U$891)*$U$1189)),0)</f>
        <v>0</v>
      </c>
      <c r="J1232" s="1483"/>
      <c r="K1232" s="1483"/>
      <c r="L1232" s="1318">
        <v>0.5</v>
      </c>
      <c r="M1232" s="233">
        <f t="shared" si="556"/>
        <v>0</v>
      </c>
      <c r="N1232" s="233">
        <f t="shared" si="543"/>
        <v>0</v>
      </c>
      <c r="O1232" s="234">
        <f t="shared" si="544"/>
        <v>0</v>
      </c>
      <c r="P1232" s="234">
        <f t="shared" si="557"/>
        <v>0</v>
      </c>
      <c r="Q1232" s="1341">
        <v>0</v>
      </c>
    </row>
    <row r="1233" spans="1:18" hidden="1" outlineLevel="1">
      <c r="A1233" s="270" t="s">
        <v>1200</v>
      </c>
      <c r="B1233" s="1316" t="s">
        <v>434</v>
      </c>
      <c r="C1233" s="1316" t="s">
        <v>435</v>
      </c>
      <c r="D1233" s="1317" t="s">
        <v>431</v>
      </c>
      <c r="E1233" s="1318">
        <v>1</v>
      </c>
      <c r="F1233" s="1319" t="s">
        <v>443</v>
      </c>
      <c r="G1233" s="1315">
        <v>3737</v>
      </c>
      <c r="H1233" s="238">
        <f>SUM(I1233:K1233)</f>
        <v>0.3448583623496761</v>
      </c>
      <c r="I1233" s="1490">
        <f>IF(H931&gt;0,$AE$1194/(1000000/((H931/$U$892)*$U$1189)),0)</f>
        <v>0.3448583623496761</v>
      </c>
      <c r="J1233" s="1483"/>
      <c r="K1233" s="1483"/>
      <c r="L1233" s="1318">
        <v>0.5</v>
      </c>
      <c r="M1233" s="233">
        <f>SUM(N1233:P1233)-Q1233</f>
        <v>644.36785005036984</v>
      </c>
      <c r="N1233" s="233">
        <f t="shared" si="543"/>
        <v>644.36785005036984</v>
      </c>
      <c r="O1233" s="234">
        <f t="shared" si="544"/>
        <v>0</v>
      </c>
      <c r="P1233" s="234">
        <f>E1233*G1233*K1233*L1233*15</f>
        <v>0</v>
      </c>
      <c r="Q1233" s="1341">
        <v>0</v>
      </c>
    </row>
    <row r="1234" spans="1:18" hidden="1" outlineLevel="1">
      <c r="A1234" s="270" t="s">
        <v>1200</v>
      </c>
      <c r="B1234" s="1316" t="s">
        <v>434</v>
      </c>
      <c r="C1234" s="1316" t="s">
        <v>435</v>
      </c>
      <c r="D1234" s="1317" t="s">
        <v>431</v>
      </c>
      <c r="E1234" s="1318">
        <v>1</v>
      </c>
      <c r="F1234" s="1317" t="s">
        <v>444</v>
      </c>
      <c r="G1234" s="1315">
        <v>15889</v>
      </c>
      <c r="H1234" s="238">
        <f>SUM(I1234:K1234)</f>
        <v>6.1441298307561114E-2</v>
      </c>
      <c r="I1234" s="1490">
        <f>IF(H932&gt;0,$AE$1195/(1000000/((H932/$U$893)*$U$1189)),0)</f>
        <v>6.1441298307561114E-2</v>
      </c>
      <c r="J1234" s="1483"/>
      <c r="K1234" s="1483"/>
      <c r="L1234" s="1318">
        <v>0.5</v>
      </c>
      <c r="M1234" s="233">
        <f>SUM(N1234:P1234)-Q1234</f>
        <v>488.12039440441924</v>
      </c>
      <c r="N1234" s="233">
        <f t="shared" si="543"/>
        <v>488.12039440441924</v>
      </c>
      <c r="O1234" s="234">
        <f t="shared" si="544"/>
        <v>0</v>
      </c>
      <c r="P1234" s="234">
        <f>E1234*G1234*K1234*L1234*15</f>
        <v>0</v>
      </c>
      <c r="Q1234" s="1341">
        <v>0</v>
      </c>
    </row>
    <row r="1235" spans="1:18" hidden="1" outlineLevel="1">
      <c r="A1235" s="270" t="s">
        <v>1200</v>
      </c>
      <c r="B1235" s="1320" t="s">
        <v>434</v>
      </c>
      <c r="C1235" s="1320" t="s">
        <v>435</v>
      </c>
      <c r="D1235" s="1321" t="s">
        <v>431</v>
      </c>
      <c r="E1235" s="1322">
        <v>1</v>
      </c>
      <c r="F1235" s="1324" t="s">
        <v>445</v>
      </c>
      <c r="G1235" s="1323">
        <v>32171</v>
      </c>
      <c r="H1235" s="239">
        <f t="shared" ref="H1235:H1244" si="558">SUM(I1235:K1235)</f>
        <v>0</v>
      </c>
      <c r="I1235" s="1482">
        <f>IF(H933&gt;0,$AE$1196/(1000000/((H933/$U$894)*$U$1189)),0)</f>
        <v>0</v>
      </c>
      <c r="J1235" s="1482"/>
      <c r="K1235" s="1482"/>
      <c r="L1235" s="1322">
        <v>0.5</v>
      </c>
      <c r="M1235" s="227">
        <f t="shared" ref="M1235" si="559">SUM(N1235:P1235)-Q1235</f>
        <v>0</v>
      </c>
      <c r="N1235" s="227">
        <f t="shared" si="543"/>
        <v>0</v>
      </c>
      <c r="O1235" s="228">
        <f t="shared" si="544"/>
        <v>0</v>
      </c>
      <c r="P1235" s="228">
        <f t="shared" ref="P1235" si="560">E1235*G1235*K1235*L1235*15</f>
        <v>0</v>
      </c>
      <c r="Q1235" s="1342">
        <v>0</v>
      </c>
      <c r="R1235" s="780"/>
    </row>
    <row r="1236" spans="1:18" hidden="1" outlineLevel="1">
      <c r="A1236" s="270" t="s">
        <v>1200</v>
      </c>
      <c r="B1236" s="1308" t="s">
        <v>869</v>
      </c>
      <c r="C1236" s="1308" t="s">
        <v>870</v>
      </c>
      <c r="D1236" s="1309" t="s">
        <v>431</v>
      </c>
      <c r="E1236" s="1310">
        <v>1</v>
      </c>
      <c r="F1236" s="1450" t="s">
        <v>441</v>
      </c>
      <c r="G1236" s="1311">
        <v>609.55999999999995</v>
      </c>
      <c r="H1236" s="778">
        <f t="shared" si="558"/>
        <v>3.7283389469395106E-3</v>
      </c>
      <c r="I1236" s="1490">
        <f>IF(H934&gt;0,$AE$1192/(1000000/((H934/$U$890)*$U$1189)),0)</f>
        <v>3.7283389469395106E-3</v>
      </c>
      <c r="J1236" s="1489"/>
      <c r="K1236" s="1489"/>
      <c r="L1236" s="1310">
        <v>0.5</v>
      </c>
      <c r="M1236" s="1451">
        <f t="shared" ref="M1236:M1249" si="561">SUM(N1236:P1236)-Q1236</f>
        <v>0</v>
      </c>
      <c r="N1236" s="1452">
        <v>0</v>
      </c>
      <c r="O1236" s="1453">
        <f t="shared" ref="O1236:O1240" si="562">E1236*G1236*J1236</f>
        <v>0</v>
      </c>
      <c r="P1236" s="1453"/>
      <c r="Q1236" s="1339">
        <v>0</v>
      </c>
    </row>
    <row r="1237" spans="1:18" hidden="1" outlineLevel="1">
      <c r="A1237" s="270" t="s">
        <v>1200</v>
      </c>
      <c r="B1237" s="1320" t="s">
        <v>869</v>
      </c>
      <c r="C1237" s="1320" t="s">
        <v>870</v>
      </c>
      <c r="D1237" s="1321" t="s">
        <v>431</v>
      </c>
      <c r="E1237" s="1322">
        <v>1</v>
      </c>
      <c r="F1237" s="1324" t="s">
        <v>442</v>
      </c>
      <c r="G1237" s="1323">
        <v>5052</v>
      </c>
      <c r="H1237" s="239">
        <f t="shared" si="558"/>
        <v>1.901013641590622E-2</v>
      </c>
      <c r="I1237" s="1482">
        <f>IF(H935&gt;0,$AE$1193/(1000000/((H935/$U$891)*$U$1189)),0)</f>
        <v>1.901013641590622E-2</v>
      </c>
      <c r="J1237" s="1482"/>
      <c r="K1237" s="1482"/>
      <c r="L1237" s="1322">
        <v>0.5</v>
      </c>
      <c r="M1237" s="520">
        <f t="shared" si="561"/>
        <v>0</v>
      </c>
      <c r="N1237" s="521">
        <v>0</v>
      </c>
      <c r="O1237" s="522">
        <f t="shared" si="562"/>
        <v>0</v>
      </c>
      <c r="P1237" s="522"/>
      <c r="Q1237" s="1342">
        <v>0</v>
      </c>
    </row>
    <row r="1238" spans="1:18" hidden="1" outlineLevel="1">
      <c r="A1238" s="270" t="s">
        <v>1200</v>
      </c>
      <c r="B1238" s="1320" t="s">
        <v>1301</v>
      </c>
      <c r="C1238" s="1320" t="s">
        <v>867</v>
      </c>
      <c r="D1238" s="1321" t="s">
        <v>431</v>
      </c>
      <c r="E1238" s="1322">
        <v>1.5</v>
      </c>
      <c r="F1238" s="1324" t="s">
        <v>441</v>
      </c>
      <c r="G1238" s="1323">
        <v>609.55999999999995</v>
      </c>
      <c r="H1238" s="239">
        <f t="shared" si="558"/>
        <v>0</v>
      </c>
      <c r="I1238" s="1482">
        <f>IF(H936&gt;0,$AE$1192/(1000000/((H936/$U$890)*$U$1189)),0)</f>
        <v>0</v>
      </c>
      <c r="J1238" s="1482"/>
      <c r="K1238" s="1482"/>
      <c r="L1238" s="1322">
        <v>0.5</v>
      </c>
      <c r="M1238" s="520">
        <f t="shared" si="561"/>
        <v>0</v>
      </c>
      <c r="N1238" s="521">
        <v>0</v>
      </c>
      <c r="O1238" s="522">
        <f t="shared" si="562"/>
        <v>0</v>
      </c>
      <c r="P1238" s="522"/>
      <c r="Q1238" s="1342">
        <v>0</v>
      </c>
    </row>
    <row r="1239" spans="1:18" hidden="1" outlineLevel="1">
      <c r="A1239" s="270" t="s">
        <v>1200</v>
      </c>
      <c r="B1239" s="1325" t="s">
        <v>620</v>
      </c>
      <c r="C1239" s="1325" t="s">
        <v>621</v>
      </c>
      <c r="D1239" s="1321" t="s">
        <v>431</v>
      </c>
      <c r="E1239" s="1327">
        <v>1</v>
      </c>
      <c r="F1239" s="1324" t="s">
        <v>441</v>
      </c>
      <c r="G1239" s="1323">
        <v>580.53</v>
      </c>
      <c r="H1239" s="239">
        <f t="shared" ref="H1239:H1240" si="563">SUM(I1239:K1239)</f>
        <v>0</v>
      </c>
      <c r="I1239" s="1482">
        <f>IF(H937&gt;0,$AE$1192/(1000000/((H937/$U$890)*$U$1189)),0)</f>
        <v>0</v>
      </c>
      <c r="J1239" s="1338"/>
      <c r="K1239" s="1338"/>
      <c r="L1239" s="1322">
        <v>0.5</v>
      </c>
      <c r="M1239" s="520">
        <f t="shared" si="561"/>
        <v>0</v>
      </c>
      <c r="N1239" s="521">
        <v>0</v>
      </c>
      <c r="O1239" s="522">
        <f t="shared" si="562"/>
        <v>0</v>
      </c>
      <c r="P1239" s="522"/>
      <c r="Q1239" s="1342">
        <v>0</v>
      </c>
    </row>
    <row r="1240" spans="1:18" hidden="1" outlineLevel="1">
      <c r="A1240" s="270" t="s">
        <v>1200</v>
      </c>
      <c r="B1240" s="1325" t="s">
        <v>622</v>
      </c>
      <c r="C1240" s="1325" t="s">
        <v>619</v>
      </c>
      <c r="D1240" s="1321" t="s">
        <v>431</v>
      </c>
      <c r="E1240" s="1327">
        <v>1</v>
      </c>
      <c r="F1240" s="1324" t="s">
        <v>441</v>
      </c>
      <c r="G1240" s="1323">
        <v>580.53</v>
      </c>
      <c r="H1240" s="239">
        <f t="shared" si="563"/>
        <v>0</v>
      </c>
      <c r="I1240" s="1490">
        <f>IF(H938&gt;0,$AE$1192/(1000000/((H938/$U$890)*$U$1189)),0)</f>
        <v>0</v>
      </c>
      <c r="J1240" s="1338"/>
      <c r="K1240" s="1338"/>
      <c r="L1240" s="1322">
        <v>0.5</v>
      </c>
      <c r="M1240" s="520">
        <f t="shared" si="561"/>
        <v>0</v>
      </c>
      <c r="N1240" s="521">
        <v>0</v>
      </c>
      <c r="O1240" s="522">
        <f t="shared" si="562"/>
        <v>0</v>
      </c>
      <c r="P1240" s="522"/>
      <c r="Q1240" s="1342">
        <v>0</v>
      </c>
    </row>
    <row r="1241" spans="1:18" hidden="1" outlineLevel="1">
      <c r="A1241" s="270" t="s">
        <v>1200</v>
      </c>
      <c r="B1241" s="1316" t="s">
        <v>436</v>
      </c>
      <c r="C1241" s="1316" t="s">
        <v>591</v>
      </c>
      <c r="D1241" s="1317" t="s">
        <v>431</v>
      </c>
      <c r="E1241" s="1318">
        <v>1</v>
      </c>
      <c r="F1241" s="1317" t="s">
        <v>868</v>
      </c>
      <c r="G1241" s="1311">
        <v>1736</v>
      </c>
      <c r="H1241" s="238">
        <f t="shared" si="558"/>
        <v>0</v>
      </c>
      <c r="I1241" s="1489">
        <f>IF(H939&gt;0,$AE$1190/(1000000/((H939/$U$888)*$U$1189)),0)</f>
        <v>0</v>
      </c>
      <c r="J1241" s="1483"/>
      <c r="K1241" s="1483"/>
      <c r="L1241" s="1318">
        <v>0.5</v>
      </c>
      <c r="M1241" s="233">
        <f t="shared" si="561"/>
        <v>0</v>
      </c>
      <c r="N1241" s="233">
        <f t="shared" ref="N1241:N1277" si="564">E1241*G1241*I1241*L1241</f>
        <v>0</v>
      </c>
      <c r="O1241" s="234">
        <f t="shared" ref="O1241:O1277" si="565">E1241*G1241*J1241*L1241*10</f>
        <v>0</v>
      </c>
      <c r="P1241" s="234">
        <f t="shared" ref="P1241:P1249" si="566">E1241*G1241*K1241*L1241*15</f>
        <v>0</v>
      </c>
      <c r="Q1241" s="1341">
        <v>0</v>
      </c>
    </row>
    <row r="1242" spans="1:18" hidden="1" outlineLevel="1">
      <c r="A1242" s="270" t="s">
        <v>1200</v>
      </c>
      <c r="B1242" s="1316" t="s">
        <v>436</v>
      </c>
      <c r="C1242" s="1316" t="s">
        <v>591</v>
      </c>
      <c r="D1242" s="1317" t="s">
        <v>431</v>
      </c>
      <c r="E1242" s="1318">
        <v>1</v>
      </c>
      <c r="F1242" s="1319" t="s">
        <v>871</v>
      </c>
      <c r="G1242" s="1315">
        <v>0.19</v>
      </c>
      <c r="H1242" s="238">
        <f t="shared" ref="H1242" si="567">SUM(I1242:K1242)</f>
        <v>0</v>
      </c>
      <c r="I1242" s="1490">
        <f>IF(H940&gt;0,$AE$1191/(1000000/((H940/$U$889)*$U$1189)),0)</f>
        <v>0</v>
      </c>
      <c r="J1242" s="1337"/>
      <c r="K1242" s="1334"/>
      <c r="L1242" s="1318">
        <v>0.5</v>
      </c>
      <c r="M1242" s="233">
        <f t="shared" si="561"/>
        <v>0</v>
      </c>
      <c r="N1242" s="233">
        <f t="shared" si="564"/>
        <v>0</v>
      </c>
      <c r="O1242" s="234">
        <f t="shared" si="565"/>
        <v>0</v>
      </c>
      <c r="P1242" s="234">
        <f t="shared" si="566"/>
        <v>0</v>
      </c>
      <c r="Q1242" s="1341">
        <v>0</v>
      </c>
    </row>
    <row r="1243" spans="1:18" hidden="1" outlineLevel="1">
      <c r="A1243" s="270" t="s">
        <v>1200</v>
      </c>
      <c r="B1243" s="1316" t="s">
        <v>436</v>
      </c>
      <c r="C1243" s="1316" t="s">
        <v>591</v>
      </c>
      <c r="D1243" s="1317" t="s">
        <v>431</v>
      </c>
      <c r="E1243" s="1318">
        <v>1</v>
      </c>
      <c r="F1243" s="1319" t="s">
        <v>441</v>
      </c>
      <c r="G1243" s="1315">
        <v>609.55999999999995</v>
      </c>
      <c r="H1243" s="238">
        <f t="shared" si="558"/>
        <v>0</v>
      </c>
      <c r="I1243" s="1490">
        <f>IF(H941&gt;0,$AE$1192/(1000000/((H941/$U$890)*$U$1189)),0)</f>
        <v>0</v>
      </c>
      <c r="J1243" s="1483"/>
      <c r="K1243" s="1483"/>
      <c r="L1243" s="1318">
        <v>0.5</v>
      </c>
      <c r="M1243" s="233">
        <f t="shared" si="561"/>
        <v>0</v>
      </c>
      <c r="N1243" s="233">
        <f t="shared" si="564"/>
        <v>0</v>
      </c>
      <c r="O1243" s="234">
        <f t="shared" si="565"/>
        <v>0</v>
      </c>
      <c r="P1243" s="234">
        <f t="shared" si="566"/>
        <v>0</v>
      </c>
      <c r="Q1243" s="1341">
        <v>0</v>
      </c>
    </row>
    <row r="1244" spans="1:18" hidden="1" outlineLevel="1">
      <c r="A1244" s="270" t="s">
        <v>1200</v>
      </c>
      <c r="B1244" s="1316" t="s">
        <v>436</v>
      </c>
      <c r="C1244" s="1316" t="s">
        <v>591</v>
      </c>
      <c r="D1244" s="1317" t="s">
        <v>431</v>
      </c>
      <c r="E1244" s="1318">
        <v>1</v>
      </c>
      <c r="F1244" s="1319" t="s">
        <v>443</v>
      </c>
      <c r="G1244" s="1315">
        <v>3737</v>
      </c>
      <c r="H1244" s="238">
        <f t="shared" si="558"/>
        <v>0</v>
      </c>
      <c r="I1244" s="1490">
        <f>IF(H942&gt;0,$AE$1194/(1000000/((H942/$U$892)*$U$1189)),0)</f>
        <v>0</v>
      </c>
      <c r="J1244" s="1483"/>
      <c r="K1244" s="1483"/>
      <c r="L1244" s="1318">
        <v>0.5</v>
      </c>
      <c r="M1244" s="233">
        <f t="shared" si="561"/>
        <v>0</v>
      </c>
      <c r="N1244" s="233">
        <f t="shared" si="564"/>
        <v>0</v>
      </c>
      <c r="O1244" s="234">
        <f t="shared" si="565"/>
        <v>0</v>
      </c>
      <c r="P1244" s="234">
        <f t="shared" si="566"/>
        <v>0</v>
      </c>
      <c r="Q1244" s="1341">
        <v>0</v>
      </c>
    </row>
    <row r="1245" spans="1:18" hidden="1" outlineLevel="1">
      <c r="A1245" s="270" t="s">
        <v>1200</v>
      </c>
      <c r="B1245" s="1320" t="s">
        <v>436</v>
      </c>
      <c r="C1245" s="1320" t="s">
        <v>591</v>
      </c>
      <c r="D1245" s="1321" t="s">
        <v>431</v>
      </c>
      <c r="E1245" s="1322">
        <v>1</v>
      </c>
      <c r="F1245" s="1324" t="s">
        <v>444</v>
      </c>
      <c r="G1245" s="1323">
        <v>15889</v>
      </c>
      <c r="H1245" s="239">
        <f t="shared" ref="H1245:H1249" si="568">SUM(I1245:K1245)</f>
        <v>0</v>
      </c>
      <c r="I1245" s="1490">
        <f>IF(H943&gt;0,$AE$1195/(1000000/((H943/$U$893)*$U$1189)),0)</f>
        <v>0</v>
      </c>
      <c r="J1245" s="1482"/>
      <c r="K1245" s="1482"/>
      <c r="L1245" s="1322">
        <v>0.5</v>
      </c>
      <c r="M1245" s="227">
        <f t="shared" si="561"/>
        <v>0</v>
      </c>
      <c r="N1245" s="227">
        <f t="shared" si="564"/>
        <v>0</v>
      </c>
      <c r="O1245" s="228">
        <f t="shared" si="565"/>
        <v>0</v>
      </c>
      <c r="P1245" s="228">
        <f t="shared" si="566"/>
        <v>0</v>
      </c>
      <c r="Q1245" s="1342">
        <v>0</v>
      </c>
    </row>
    <row r="1246" spans="1:18" hidden="1" outlineLevel="1">
      <c r="A1246" s="270" t="s">
        <v>1200</v>
      </c>
      <c r="B1246" s="1316" t="s">
        <v>437</v>
      </c>
      <c r="C1246" s="1316" t="s">
        <v>592</v>
      </c>
      <c r="D1246" s="1317" t="s">
        <v>431</v>
      </c>
      <c r="E1246" s="1318">
        <v>1</v>
      </c>
      <c r="F1246" s="1317" t="s">
        <v>868</v>
      </c>
      <c r="G1246" s="1311">
        <v>1736</v>
      </c>
      <c r="H1246" s="238">
        <f t="shared" si="568"/>
        <v>3.3708494254314832E-4</v>
      </c>
      <c r="I1246" s="1489">
        <f>IF(H944&gt;0,$AE$1190/(1000000/((H944/$U$888)*$U$1189)),0)</f>
        <v>3.3708494254314832E-4</v>
      </c>
      <c r="J1246" s="1483"/>
      <c r="K1246" s="1483"/>
      <c r="L1246" s="1318">
        <v>0.5</v>
      </c>
      <c r="M1246" s="233">
        <f t="shared" si="561"/>
        <v>0.29258973012745276</v>
      </c>
      <c r="N1246" s="233">
        <f t="shared" si="564"/>
        <v>0.29258973012745276</v>
      </c>
      <c r="O1246" s="234">
        <f t="shared" si="565"/>
        <v>0</v>
      </c>
      <c r="P1246" s="234">
        <f t="shared" si="566"/>
        <v>0</v>
      </c>
      <c r="Q1246" s="1341">
        <v>0</v>
      </c>
    </row>
    <row r="1247" spans="1:18" hidden="1" outlineLevel="1">
      <c r="A1247" s="270" t="s">
        <v>1200</v>
      </c>
      <c r="B1247" s="1316" t="s">
        <v>437</v>
      </c>
      <c r="C1247" s="1316" t="s">
        <v>592</v>
      </c>
      <c r="D1247" s="1317" t="s">
        <v>431</v>
      </c>
      <c r="E1247" s="1318">
        <v>1</v>
      </c>
      <c r="F1247" s="1319" t="s">
        <v>441</v>
      </c>
      <c r="G1247" s="1315">
        <v>609.55999999999995</v>
      </c>
      <c r="H1247" s="238">
        <f t="shared" si="568"/>
        <v>3.4119574389629469E-4</v>
      </c>
      <c r="I1247" s="1490">
        <f>IF(H945&gt;0,$AE$1192/(1000000/((H945/$U$890)*$U$1189)),0)</f>
        <v>3.4119574389629469E-4</v>
      </c>
      <c r="J1247" s="1483"/>
      <c r="K1247" s="1483"/>
      <c r="L1247" s="1318">
        <v>0.5</v>
      </c>
      <c r="M1247" s="233">
        <f t="shared" si="561"/>
        <v>0.10398963882471268</v>
      </c>
      <c r="N1247" s="233">
        <f t="shared" si="564"/>
        <v>0.10398963882471268</v>
      </c>
      <c r="O1247" s="234">
        <f t="shared" si="565"/>
        <v>0</v>
      </c>
      <c r="P1247" s="234">
        <f t="shared" si="566"/>
        <v>0</v>
      </c>
      <c r="Q1247" s="1341">
        <v>0</v>
      </c>
    </row>
    <row r="1248" spans="1:18" hidden="1" outlineLevel="1">
      <c r="A1248" s="270" t="s">
        <v>1200</v>
      </c>
      <c r="B1248" s="1316" t="s">
        <v>437</v>
      </c>
      <c r="C1248" s="1316" t="s">
        <v>592</v>
      </c>
      <c r="D1248" s="1317" t="s">
        <v>431</v>
      </c>
      <c r="E1248" s="1318">
        <v>1</v>
      </c>
      <c r="F1248" s="1319" t="s">
        <v>443</v>
      </c>
      <c r="G1248" s="1315">
        <v>3737</v>
      </c>
      <c r="H1248" s="238">
        <f t="shared" si="568"/>
        <v>7.7866043844585571E-4</v>
      </c>
      <c r="I1248" s="1490">
        <f>IF(H946&gt;0,$AE$1194/(1000000/((H946/$U$892)*$U$1189)),0)</f>
        <v>7.7866043844585571E-4</v>
      </c>
      <c r="J1248" s="1483"/>
      <c r="K1248" s="1483"/>
      <c r="L1248" s="1318">
        <v>0.5</v>
      </c>
      <c r="M1248" s="233">
        <f t="shared" si="561"/>
        <v>1.4549270292360814</v>
      </c>
      <c r="N1248" s="233">
        <f t="shared" si="564"/>
        <v>1.4549270292360814</v>
      </c>
      <c r="O1248" s="234">
        <f t="shared" si="565"/>
        <v>0</v>
      </c>
      <c r="P1248" s="234">
        <f t="shared" si="566"/>
        <v>0</v>
      </c>
      <c r="Q1248" s="1341">
        <v>0</v>
      </c>
    </row>
    <row r="1249" spans="1:18" hidden="1" outlineLevel="1">
      <c r="A1249" s="270" t="s">
        <v>1200</v>
      </c>
      <c r="B1249" s="1320" t="s">
        <v>437</v>
      </c>
      <c r="C1249" s="1320" t="s">
        <v>592</v>
      </c>
      <c r="D1249" s="1321" t="s">
        <v>431</v>
      </c>
      <c r="E1249" s="1322">
        <v>1</v>
      </c>
      <c r="F1249" s="1324" t="s">
        <v>444</v>
      </c>
      <c r="G1249" s="1323">
        <v>15889</v>
      </c>
      <c r="H1249" s="239">
        <f t="shared" si="568"/>
        <v>1.3714332559926128E-4</v>
      </c>
      <c r="I1249" s="1490">
        <f>IF(H947&gt;0,$AE$1195/(1000000/((H947/$U$893)*$U$1189)),0)</f>
        <v>1.3714332559926128E-4</v>
      </c>
      <c r="J1249" s="1482"/>
      <c r="K1249" s="1482"/>
      <c r="L1249" s="1322">
        <v>0.5</v>
      </c>
      <c r="M1249" s="227">
        <f t="shared" si="561"/>
        <v>1.0895351502233313</v>
      </c>
      <c r="N1249" s="227">
        <f t="shared" si="564"/>
        <v>1.0895351502233313</v>
      </c>
      <c r="O1249" s="228">
        <f t="shared" si="565"/>
        <v>0</v>
      </c>
      <c r="P1249" s="228">
        <f t="shared" si="566"/>
        <v>0</v>
      </c>
      <c r="Q1249" s="1342">
        <v>0</v>
      </c>
      <c r="R1249" s="519"/>
    </row>
    <row r="1250" spans="1:18" hidden="1" outlineLevel="1">
      <c r="A1250" s="270" t="s">
        <v>1200</v>
      </c>
      <c r="B1250" s="1316" t="s">
        <v>438</v>
      </c>
      <c r="C1250" s="1316" t="s">
        <v>593</v>
      </c>
      <c r="D1250" s="1317" t="s">
        <v>431</v>
      </c>
      <c r="E1250" s="1318">
        <v>1</v>
      </c>
      <c r="F1250" s="1319" t="s">
        <v>868</v>
      </c>
      <c r="G1250" s="1311">
        <v>1736</v>
      </c>
      <c r="H1250" s="238">
        <f>SUM(I1250:K1250)</f>
        <v>5.02802679659333E-3</v>
      </c>
      <c r="I1250" s="1489">
        <f>IF(H948&gt;0,$AE$1190/(1000000/((H948/$U$888)*$U$1189)),0)</f>
        <v>5.02802679659333E-3</v>
      </c>
      <c r="J1250" s="1483"/>
      <c r="K1250" s="1483"/>
      <c r="L1250" s="1310">
        <v>0.5</v>
      </c>
      <c r="M1250" s="233">
        <f>SUM(N1250:P1250)-Q1250</f>
        <v>4.3643272594430105</v>
      </c>
      <c r="N1250" s="233">
        <f t="shared" si="564"/>
        <v>4.3643272594430105</v>
      </c>
      <c r="O1250" s="234">
        <f t="shared" si="565"/>
        <v>0</v>
      </c>
      <c r="P1250" s="234">
        <f>E1250*G1250*K1250*L1250*15</f>
        <v>0</v>
      </c>
      <c r="Q1250" s="1341">
        <v>0</v>
      </c>
    </row>
    <row r="1251" spans="1:18" hidden="1" outlineLevel="1">
      <c r="A1251" s="270" t="s">
        <v>1200</v>
      </c>
      <c r="B1251" s="1316" t="s">
        <v>438</v>
      </c>
      <c r="C1251" s="1316" t="s">
        <v>593</v>
      </c>
      <c r="D1251" s="1317" t="s">
        <v>431</v>
      </c>
      <c r="E1251" s="1318">
        <v>1</v>
      </c>
      <c r="F1251" s="1319" t="s">
        <v>441</v>
      </c>
      <c r="G1251" s="1315">
        <v>609.55999999999995</v>
      </c>
      <c r="H1251" s="238">
        <f t="shared" ref="H1251" si="569">SUM(I1251:K1251)</f>
        <v>3.9108269735991961E-3</v>
      </c>
      <c r="I1251" s="1490">
        <f>IF(H949&gt;0,$AE$1192/(1000000/((H949/$U$890)*$U$1189)),0)</f>
        <v>3.9108269735991961E-3</v>
      </c>
      <c r="J1251" s="1483"/>
      <c r="K1251" s="1483"/>
      <c r="L1251" s="1314">
        <v>0.5</v>
      </c>
      <c r="M1251" s="233">
        <f t="shared" ref="M1251" si="570">SUM(N1251:P1251)-Q1251</f>
        <v>1.1919418450135628</v>
      </c>
      <c r="N1251" s="233">
        <f t="shared" si="564"/>
        <v>1.1919418450135628</v>
      </c>
      <c r="O1251" s="234">
        <f t="shared" si="565"/>
        <v>0</v>
      </c>
      <c r="P1251" s="234">
        <f t="shared" ref="P1251:P1271" si="571">E1251*G1251*K1251*L1251*15</f>
        <v>0</v>
      </c>
      <c r="Q1251" s="1341">
        <v>0</v>
      </c>
    </row>
    <row r="1252" spans="1:18" hidden="1" outlineLevel="1">
      <c r="A1252" s="270" t="s">
        <v>1200</v>
      </c>
      <c r="B1252" s="1316" t="s">
        <v>438</v>
      </c>
      <c r="C1252" s="1316" t="s">
        <v>593</v>
      </c>
      <c r="D1252" s="1317" t="s">
        <v>431</v>
      </c>
      <c r="E1252" s="1318">
        <v>1</v>
      </c>
      <c r="F1252" s="1319" t="s">
        <v>442</v>
      </c>
      <c r="G1252" s="1315">
        <v>5052</v>
      </c>
      <c r="H1252" s="238">
        <f t="shared" ref="H1252:H1262" si="572">SUM(I1252:K1252)</f>
        <v>0</v>
      </c>
      <c r="I1252" s="1490">
        <f>IF(H950&gt;0,$AE$1193/(1000000/((H950/$U$891)*$U$1189)),0)</f>
        <v>0</v>
      </c>
      <c r="J1252" s="1483"/>
      <c r="K1252" s="1483"/>
      <c r="L1252" s="1318">
        <v>0.5</v>
      </c>
      <c r="M1252" s="233">
        <f t="shared" ref="M1252:M1262" si="573">SUM(N1252:P1252)-Q1252</f>
        <v>0</v>
      </c>
      <c r="N1252" s="233">
        <f t="shared" si="564"/>
        <v>0</v>
      </c>
      <c r="O1252" s="234">
        <f t="shared" si="565"/>
        <v>0</v>
      </c>
      <c r="P1252" s="234">
        <f t="shared" si="571"/>
        <v>0</v>
      </c>
      <c r="Q1252" s="1341">
        <v>0</v>
      </c>
    </row>
    <row r="1253" spans="1:18" hidden="1" outlineLevel="1">
      <c r="A1253" s="270" t="s">
        <v>1200</v>
      </c>
      <c r="B1253" s="1316" t="s">
        <v>438</v>
      </c>
      <c r="C1253" s="1316" t="s">
        <v>593</v>
      </c>
      <c r="D1253" s="1317" t="s">
        <v>431</v>
      </c>
      <c r="E1253" s="1318">
        <v>1</v>
      </c>
      <c r="F1253" s="1319" t="s">
        <v>443</v>
      </c>
      <c r="G1253" s="1315">
        <v>3737</v>
      </c>
      <c r="H1253" s="238">
        <f t="shared" si="572"/>
        <v>6.3000708201528316E-3</v>
      </c>
      <c r="I1253" s="1490">
        <f>IF(H951&gt;0,$AE$1194/(1000000/((H951/$U$892)*$U$1189)),0)</f>
        <v>6.3000708201528316E-3</v>
      </c>
      <c r="J1253" s="1483"/>
      <c r="K1253" s="1483"/>
      <c r="L1253" s="1318">
        <v>0.5</v>
      </c>
      <c r="M1253" s="233">
        <f t="shared" si="573"/>
        <v>11.771682327455565</v>
      </c>
      <c r="N1253" s="233">
        <f t="shared" si="564"/>
        <v>11.771682327455565</v>
      </c>
      <c r="O1253" s="234">
        <f t="shared" si="565"/>
        <v>0</v>
      </c>
      <c r="P1253" s="234">
        <f t="shared" si="571"/>
        <v>0</v>
      </c>
      <c r="Q1253" s="1341">
        <v>0</v>
      </c>
    </row>
    <row r="1254" spans="1:18" hidden="1" outlineLevel="1">
      <c r="A1254" s="270" t="s">
        <v>1200</v>
      </c>
      <c r="B1254" s="1316" t="s">
        <v>438</v>
      </c>
      <c r="C1254" s="1316" t="s">
        <v>593</v>
      </c>
      <c r="D1254" s="1317" t="s">
        <v>431</v>
      </c>
      <c r="E1254" s="1318">
        <v>1</v>
      </c>
      <c r="F1254" s="1319" t="s">
        <v>444</v>
      </c>
      <c r="G1254" s="1315">
        <v>15889</v>
      </c>
      <c r="H1254" s="238">
        <f t="shared" si="572"/>
        <v>8.707512736461034E-4</v>
      </c>
      <c r="I1254" s="1490">
        <f>IF(H952&gt;0,$AE$1195/(1000000/((H952/$U$893)*$U$1189)),0)</f>
        <v>8.707512736461034E-4</v>
      </c>
      <c r="J1254" s="1483"/>
      <c r="K1254" s="1483"/>
      <c r="L1254" s="1318">
        <v>0.5</v>
      </c>
      <c r="M1254" s="233">
        <f t="shared" si="573"/>
        <v>6.9176834934814684</v>
      </c>
      <c r="N1254" s="233">
        <f t="shared" si="564"/>
        <v>6.9176834934814684</v>
      </c>
      <c r="O1254" s="234">
        <f t="shared" si="565"/>
        <v>0</v>
      </c>
      <c r="P1254" s="234">
        <f t="shared" si="571"/>
        <v>0</v>
      </c>
      <c r="Q1254" s="1341">
        <v>0</v>
      </c>
    </row>
    <row r="1255" spans="1:18" hidden="1" outlineLevel="1">
      <c r="A1255" s="270" t="s">
        <v>1200</v>
      </c>
      <c r="B1255" s="1320" t="s">
        <v>438</v>
      </c>
      <c r="C1255" s="1320" t="s">
        <v>593</v>
      </c>
      <c r="D1255" s="1321" t="s">
        <v>431</v>
      </c>
      <c r="E1255" s="1322">
        <v>1</v>
      </c>
      <c r="F1255" s="1324" t="s">
        <v>445</v>
      </c>
      <c r="G1255" s="1323">
        <v>32171</v>
      </c>
      <c r="H1255" s="239">
        <f t="shared" si="572"/>
        <v>0</v>
      </c>
      <c r="I1255" s="1490">
        <f>IF(H953&gt;0,$AE$1196/(1000000/((H953/$U$894)*$U$1189)),0)</f>
        <v>0</v>
      </c>
      <c r="J1255" s="1482"/>
      <c r="K1255" s="1482"/>
      <c r="L1255" s="1322">
        <v>0.5</v>
      </c>
      <c r="M1255" s="227">
        <f t="shared" si="573"/>
        <v>0</v>
      </c>
      <c r="N1255" s="227">
        <f t="shared" si="564"/>
        <v>0</v>
      </c>
      <c r="O1255" s="228">
        <f t="shared" si="565"/>
        <v>0</v>
      </c>
      <c r="P1255" s="228">
        <f t="shared" si="571"/>
        <v>0</v>
      </c>
      <c r="Q1255" s="1342">
        <v>0</v>
      </c>
      <c r="R1255" s="519"/>
    </row>
    <row r="1256" spans="1:18" hidden="1" outlineLevel="1">
      <c r="A1256" s="270" t="s">
        <v>1200</v>
      </c>
      <c r="B1256" s="1316" t="s">
        <v>418</v>
      </c>
      <c r="C1256" s="1316" t="s">
        <v>439</v>
      </c>
      <c r="D1256" s="1317" t="s">
        <v>431</v>
      </c>
      <c r="E1256" s="1318">
        <v>1.5</v>
      </c>
      <c r="F1256" s="1319" t="s">
        <v>868</v>
      </c>
      <c r="G1256" s="1311">
        <v>1736</v>
      </c>
      <c r="H1256" s="238">
        <f t="shared" si="572"/>
        <v>1.0004266800337853E-2</v>
      </c>
      <c r="I1256" s="1489">
        <f>IF(H954&gt;0,$AE$1190/(1000000/((H954/$U$888)*$U$1189)),0)</f>
        <v>1.0004266800337853E-2</v>
      </c>
      <c r="J1256" s="1483"/>
      <c r="K1256" s="1483"/>
      <c r="L1256" s="1318">
        <v>0.5</v>
      </c>
      <c r="M1256" s="233">
        <f t="shared" si="573"/>
        <v>13.025555374039884</v>
      </c>
      <c r="N1256" s="233">
        <f t="shared" si="564"/>
        <v>13.025555374039884</v>
      </c>
      <c r="O1256" s="234">
        <f t="shared" si="565"/>
        <v>0</v>
      </c>
      <c r="P1256" s="234">
        <f t="shared" si="571"/>
        <v>0</v>
      </c>
      <c r="Q1256" s="1341">
        <v>0</v>
      </c>
    </row>
    <row r="1257" spans="1:18" hidden="1" outlineLevel="1">
      <c r="A1257" s="270" t="s">
        <v>1200</v>
      </c>
      <c r="B1257" s="1316" t="s">
        <v>418</v>
      </c>
      <c r="C1257" s="1316" t="s">
        <v>439</v>
      </c>
      <c r="D1257" s="1317" t="s">
        <v>431</v>
      </c>
      <c r="E1257" s="1318">
        <v>1.5</v>
      </c>
      <c r="F1257" s="1319" t="s">
        <v>441</v>
      </c>
      <c r="G1257" s="1315">
        <v>609.55999999999995</v>
      </c>
      <c r="H1257" s="238">
        <f t="shared" si="572"/>
        <v>2.6365125664713676E-2</v>
      </c>
      <c r="I1257" s="1490">
        <f>IF(H955&gt;0,$AE$1192/(1000000/((H955/$U$890)*$U$1189)),0)</f>
        <v>2.6365125664713676E-2</v>
      </c>
      <c r="J1257" s="1483"/>
      <c r="K1257" s="1483"/>
      <c r="L1257" s="1318">
        <v>0.5</v>
      </c>
      <c r="M1257" s="233">
        <f t="shared" si="573"/>
        <v>12.05334450013715</v>
      </c>
      <c r="N1257" s="233">
        <f t="shared" si="564"/>
        <v>12.05334450013715</v>
      </c>
      <c r="O1257" s="234">
        <f t="shared" si="565"/>
        <v>0</v>
      </c>
      <c r="P1257" s="234">
        <f t="shared" si="571"/>
        <v>0</v>
      </c>
      <c r="Q1257" s="1341">
        <v>0</v>
      </c>
    </row>
    <row r="1258" spans="1:18" hidden="1" outlineLevel="1">
      <c r="A1258" s="270" t="s">
        <v>1200</v>
      </c>
      <c r="B1258" s="1316" t="s">
        <v>418</v>
      </c>
      <c r="C1258" s="1316" t="s">
        <v>439</v>
      </c>
      <c r="D1258" s="1317" t="s">
        <v>431</v>
      </c>
      <c r="E1258" s="1318">
        <v>1.5</v>
      </c>
      <c r="F1258" s="1319" t="s">
        <v>442</v>
      </c>
      <c r="G1258" s="1315">
        <v>5052</v>
      </c>
      <c r="H1258" s="238">
        <f t="shared" si="572"/>
        <v>0</v>
      </c>
      <c r="I1258" s="1490">
        <f>IF(H956&gt;0,$AE$1193/(1000000/((H956/$U$891)*$U$1189)),0)</f>
        <v>0</v>
      </c>
      <c r="J1258" s="1483"/>
      <c r="K1258" s="1483"/>
      <c r="L1258" s="1318">
        <v>0.5</v>
      </c>
      <c r="M1258" s="233">
        <f t="shared" si="573"/>
        <v>0</v>
      </c>
      <c r="N1258" s="233">
        <f t="shared" si="564"/>
        <v>0</v>
      </c>
      <c r="O1258" s="234">
        <f t="shared" si="565"/>
        <v>0</v>
      </c>
      <c r="P1258" s="234">
        <f t="shared" si="571"/>
        <v>0</v>
      </c>
      <c r="Q1258" s="1341">
        <v>0</v>
      </c>
    </row>
    <row r="1259" spans="1:18" hidden="1" outlineLevel="1">
      <c r="A1259" s="270" t="s">
        <v>1200</v>
      </c>
      <c r="B1259" s="1316" t="s">
        <v>418</v>
      </c>
      <c r="C1259" s="1316" t="s">
        <v>439</v>
      </c>
      <c r="D1259" s="1317" t="s">
        <v>431</v>
      </c>
      <c r="E1259" s="1318">
        <v>1.5</v>
      </c>
      <c r="F1259" s="1319" t="s">
        <v>443</v>
      </c>
      <c r="G1259" s="1315">
        <v>3737</v>
      </c>
      <c r="H1259" s="238">
        <f t="shared" si="572"/>
        <v>1.5273723984899477E-2</v>
      </c>
      <c r="I1259" s="1490">
        <f>IF(H957&gt;0,$AE$1194/(1000000/((H957/$U$892)*$U$1189)),0)</f>
        <v>1.5273723984899477E-2</v>
      </c>
      <c r="J1259" s="1483"/>
      <c r="K1259" s="1483"/>
      <c r="L1259" s="1318">
        <v>0.5</v>
      </c>
      <c r="M1259" s="233">
        <f t="shared" si="573"/>
        <v>42.808429898677012</v>
      </c>
      <c r="N1259" s="233">
        <f t="shared" si="564"/>
        <v>42.808429898677012</v>
      </c>
      <c r="O1259" s="234">
        <f t="shared" si="565"/>
        <v>0</v>
      </c>
      <c r="P1259" s="234">
        <f t="shared" si="571"/>
        <v>0</v>
      </c>
      <c r="Q1259" s="1341">
        <v>0</v>
      </c>
    </row>
    <row r="1260" spans="1:18" hidden="1" outlineLevel="1">
      <c r="A1260" s="270" t="s">
        <v>1200</v>
      </c>
      <c r="B1260" s="1316" t="s">
        <v>418</v>
      </c>
      <c r="C1260" s="1316" t="s">
        <v>439</v>
      </c>
      <c r="D1260" s="1317" t="s">
        <v>431</v>
      </c>
      <c r="E1260" s="1318">
        <v>1.5</v>
      </c>
      <c r="F1260" s="1319" t="s">
        <v>444</v>
      </c>
      <c r="G1260" s="1315">
        <v>15889</v>
      </c>
      <c r="H1260" s="238">
        <f t="shared" si="572"/>
        <v>3.7006929129959395E-3</v>
      </c>
      <c r="I1260" s="1490">
        <f>IF(H958&gt;0,$AE$1195/(1000000/((H958/$U$893)*$U$1189)),0)</f>
        <v>3.7006929129959395E-3</v>
      </c>
      <c r="J1260" s="1483"/>
      <c r="K1260" s="1483"/>
      <c r="L1260" s="1318">
        <v>0.5</v>
      </c>
      <c r="M1260" s="233">
        <f t="shared" si="573"/>
        <v>44.10023227094436</v>
      </c>
      <c r="N1260" s="233">
        <f t="shared" si="564"/>
        <v>44.10023227094436</v>
      </c>
      <c r="O1260" s="234">
        <f t="shared" si="565"/>
        <v>0</v>
      </c>
      <c r="P1260" s="234">
        <f t="shared" si="571"/>
        <v>0</v>
      </c>
      <c r="Q1260" s="1341">
        <v>0</v>
      </c>
    </row>
    <row r="1261" spans="1:18" hidden="1" outlineLevel="1">
      <c r="A1261" s="270" t="s">
        <v>1200</v>
      </c>
      <c r="B1261" s="1320" t="s">
        <v>418</v>
      </c>
      <c r="C1261" s="1320" t="s">
        <v>439</v>
      </c>
      <c r="D1261" s="1321" t="s">
        <v>431</v>
      </c>
      <c r="E1261" s="1322">
        <v>1.5</v>
      </c>
      <c r="F1261" s="1324" t="s">
        <v>445</v>
      </c>
      <c r="G1261" s="1323">
        <v>32171</v>
      </c>
      <c r="H1261" s="239">
        <f t="shared" si="572"/>
        <v>0</v>
      </c>
      <c r="I1261" s="1490">
        <f>IF(H959&gt;0,$AE$1196/(1000000/((H959/$U$894)*$U$1189)),0)</f>
        <v>0</v>
      </c>
      <c r="J1261" s="1482"/>
      <c r="K1261" s="1482"/>
      <c r="L1261" s="1322">
        <v>0.5</v>
      </c>
      <c r="M1261" s="227">
        <f t="shared" si="573"/>
        <v>0</v>
      </c>
      <c r="N1261" s="227">
        <f t="shared" si="564"/>
        <v>0</v>
      </c>
      <c r="O1261" s="228">
        <f t="shared" si="565"/>
        <v>0</v>
      </c>
      <c r="P1261" s="228">
        <f t="shared" si="571"/>
        <v>0</v>
      </c>
      <c r="Q1261" s="1342">
        <v>0</v>
      </c>
    </row>
    <row r="1262" spans="1:18" hidden="1" outlineLevel="1">
      <c r="A1262" s="270" t="s">
        <v>1200</v>
      </c>
      <c r="B1262" s="1316" t="s">
        <v>411</v>
      </c>
      <c r="C1262" s="1316" t="s">
        <v>440</v>
      </c>
      <c r="D1262" s="1317" t="s">
        <v>431</v>
      </c>
      <c r="E1262" s="1318">
        <v>1.5</v>
      </c>
      <c r="F1262" s="1319" t="s">
        <v>868</v>
      </c>
      <c r="G1262" s="1311">
        <v>1736</v>
      </c>
      <c r="H1262" s="238">
        <f t="shared" si="572"/>
        <v>1.9518913013741523E-3</v>
      </c>
      <c r="I1262" s="1489">
        <f>IF(H960&gt;0,$AE$1190/(1000000/((H960/$U$888)*$U$1189)),0)</f>
        <v>1.9518913013741523E-3</v>
      </c>
      <c r="J1262" s="1483"/>
      <c r="K1262" s="1483"/>
      <c r="L1262" s="1318">
        <v>0.5</v>
      </c>
      <c r="M1262" s="233">
        <f t="shared" si="573"/>
        <v>2.5413624743891461</v>
      </c>
      <c r="N1262" s="233">
        <f t="shared" si="564"/>
        <v>2.5413624743891461</v>
      </c>
      <c r="O1262" s="234">
        <f t="shared" si="565"/>
        <v>0</v>
      </c>
      <c r="P1262" s="234">
        <f t="shared" si="571"/>
        <v>0</v>
      </c>
      <c r="Q1262" s="1341">
        <v>0</v>
      </c>
    </row>
    <row r="1263" spans="1:18" hidden="1" outlineLevel="1">
      <c r="A1263" s="270" t="s">
        <v>1200</v>
      </c>
      <c r="B1263" s="1316" t="s">
        <v>411</v>
      </c>
      <c r="C1263" s="1316" t="s">
        <v>440</v>
      </c>
      <c r="D1263" s="1317" t="s">
        <v>431</v>
      </c>
      <c r="E1263" s="1318">
        <v>1.5</v>
      </c>
      <c r="F1263" s="1317" t="s">
        <v>441</v>
      </c>
      <c r="G1263" s="1315">
        <v>609.55999999999995</v>
      </c>
      <c r="H1263" s="238">
        <f t="shared" ref="H1263" si="574">SUM(I1263:K1263)</f>
        <v>3.0614563565967536E-3</v>
      </c>
      <c r="I1263" s="1490">
        <f>IF(H961&gt;0,$AE$1192/(1000000/((H961/$U$890)*$U$1189)),0)</f>
        <v>3.0614563565967536E-3</v>
      </c>
      <c r="J1263" s="1483"/>
      <c r="K1263" s="1483"/>
      <c r="L1263" s="1318">
        <v>0.5</v>
      </c>
      <c r="M1263" s="233">
        <f t="shared" ref="M1263:M1271" si="575">SUM(N1263:P1263)-Q1263</f>
        <v>1.3996060025453376</v>
      </c>
      <c r="N1263" s="233">
        <f t="shared" si="564"/>
        <v>1.3996060025453376</v>
      </c>
      <c r="O1263" s="234">
        <f t="shared" si="565"/>
        <v>0</v>
      </c>
      <c r="P1263" s="234">
        <f t="shared" si="571"/>
        <v>0</v>
      </c>
      <c r="Q1263" s="1341">
        <v>0</v>
      </c>
    </row>
    <row r="1264" spans="1:18" hidden="1" outlineLevel="1">
      <c r="A1264" s="270" t="s">
        <v>1200</v>
      </c>
      <c r="B1264" s="1316" t="s">
        <v>411</v>
      </c>
      <c r="C1264" s="1316" t="s">
        <v>440</v>
      </c>
      <c r="D1264" s="1317" t="s">
        <v>431</v>
      </c>
      <c r="E1264" s="1318">
        <v>1.5</v>
      </c>
      <c r="F1264" s="1319" t="s">
        <v>442</v>
      </c>
      <c r="G1264" s="1315">
        <v>5052</v>
      </c>
      <c r="H1264" s="238">
        <f>SUM(I1264:K1264)</f>
        <v>0</v>
      </c>
      <c r="I1264" s="1490">
        <f>IF(H962&gt;0,$AE$1193/(1000000/((H962/$U$891)*$U$1189)),0)</f>
        <v>0</v>
      </c>
      <c r="J1264" s="1483"/>
      <c r="K1264" s="1483"/>
      <c r="L1264" s="1318">
        <v>0.5</v>
      </c>
      <c r="M1264" s="233">
        <f t="shared" si="575"/>
        <v>0</v>
      </c>
      <c r="N1264" s="233">
        <f t="shared" si="564"/>
        <v>0</v>
      </c>
      <c r="O1264" s="234">
        <f t="shared" si="565"/>
        <v>0</v>
      </c>
      <c r="P1264" s="234">
        <f t="shared" si="571"/>
        <v>0</v>
      </c>
      <c r="Q1264" s="1341">
        <v>0</v>
      </c>
    </row>
    <row r="1265" spans="1:18" hidden="1" outlineLevel="1">
      <c r="A1265" s="270" t="s">
        <v>1200</v>
      </c>
      <c r="B1265" s="1316" t="s">
        <v>411</v>
      </c>
      <c r="C1265" s="1316" t="s">
        <v>440</v>
      </c>
      <c r="D1265" s="1317" t="s">
        <v>431</v>
      </c>
      <c r="E1265" s="1318">
        <v>1.5</v>
      </c>
      <c r="F1265" s="1319" t="s">
        <v>443</v>
      </c>
      <c r="G1265" s="1315">
        <v>3737</v>
      </c>
      <c r="H1265" s="238">
        <f t="shared" ref="H1265:H1271" si="576">SUM(I1265:K1265)</f>
        <v>6.8794377477796789E-3</v>
      </c>
      <c r="I1265" s="1490">
        <f>IF(H963&gt;0,$AE$1194/(1000000/((H963/$U$892)*$U$1189)),0)</f>
        <v>6.8794377477796789E-3</v>
      </c>
      <c r="J1265" s="1483"/>
      <c r="K1265" s="1483"/>
      <c r="L1265" s="1318">
        <v>0.5</v>
      </c>
      <c r="M1265" s="233">
        <f t="shared" si="575"/>
        <v>19.281344147589493</v>
      </c>
      <c r="N1265" s="233">
        <f t="shared" si="564"/>
        <v>19.281344147589493</v>
      </c>
      <c r="O1265" s="234">
        <f t="shared" si="565"/>
        <v>0</v>
      </c>
      <c r="P1265" s="234">
        <f t="shared" si="571"/>
        <v>0</v>
      </c>
      <c r="Q1265" s="1341">
        <v>0</v>
      </c>
    </row>
    <row r="1266" spans="1:18" hidden="1" outlineLevel="1">
      <c r="A1266" s="270" t="s">
        <v>1200</v>
      </c>
      <c r="B1266" s="1320" t="s">
        <v>411</v>
      </c>
      <c r="C1266" s="1320" t="s">
        <v>440</v>
      </c>
      <c r="D1266" s="1321" t="s">
        <v>431</v>
      </c>
      <c r="E1266" s="1322">
        <v>1.5</v>
      </c>
      <c r="F1266" s="1324" t="s">
        <v>444</v>
      </c>
      <c r="G1266" s="1323">
        <v>15889</v>
      </c>
      <c r="H1266" s="239">
        <f t="shared" si="576"/>
        <v>5.0503573871473991E-4</v>
      </c>
      <c r="I1266" s="1490">
        <f>IF(H964&gt;0,$AE$1195/(1000000/((H964/$U$893)*$U$1189)),0)</f>
        <v>5.0503573871473991E-4</v>
      </c>
      <c r="J1266" s="1482"/>
      <c r="K1266" s="1482"/>
      <c r="L1266" s="1322">
        <v>0.5</v>
      </c>
      <c r="M1266" s="227">
        <f t="shared" si="575"/>
        <v>6.0183846393288771</v>
      </c>
      <c r="N1266" s="227">
        <f t="shared" si="564"/>
        <v>6.0183846393288771</v>
      </c>
      <c r="O1266" s="228">
        <f t="shared" si="565"/>
        <v>0</v>
      </c>
      <c r="P1266" s="228">
        <f t="shared" si="571"/>
        <v>0</v>
      </c>
      <c r="Q1266" s="1342">
        <v>0</v>
      </c>
    </row>
    <row r="1267" spans="1:18" hidden="1" outlineLevel="1">
      <c r="A1267" s="270" t="s">
        <v>1200</v>
      </c>
      <c r="B1267" s="1316" t="s">
        <v>409</v>
      </c>
      <c r="C1267" s="1316" t="s">
        <v>594</v>
      </c>
      <c r="D1267" s="1317" t="s">
        <v>431</v>
      </c>
      <c r="E1267" s="1318">
        <v>1</v>
      </c>
      <c r="F1267" s="1319" t="s">
        <v>868</v>
      </c>
      <c r="G1267" s="1311">
        <v>1736</v>
      </c>
      <c r="H1267" s="238">
        <f t="shared" si="576"/>
        <v>7.3066456819408684E-4</v>
      </c>
      <c r="I1267" s="1489">
        <f>IF(H965&gt;0,$AE$1190/(1000000/((H965/$U$888)*$U$1189)),0)</f>
        <v>7.3066456819408684E-4</v>
      </c>
      <c r="J1267" s="1483"/>
      <c r="K1267" s="1483"/>
      <c r="L1267" s="1318">
        <v>0.5</v>
      </c>
      <c r="M1267" s="233">
        <f t="shared" si="575"/>
        <v>0.63421684519246735</v>
      </c>
      <c r="N1267" s="233">
        <f t="shared" si="564"/>
        <v>0.63421684519246735</v>
      </c>
      <c r="O1267" s="234">
        <f t="shared" si="565"/>
        <v>0</v>
      </c>
      <c r="P1267" s="234">
        <f t="shared" si="571"/>
        <v>0</v>
      </c>
      <c r="Q1267" s="1341">
        <v>0</v>
      </c>
    </row>
    <row r="1268" spans="1:18" hidden="1" outlineLevel="1">
      <c r="A1268" s="270" t="s">
        <v>1200</v>
      </c>
      <c r="B1268" s="1316" t="s">
        <v>409</v>
      </c>
      <c r="C1268" s="1316" t="s">
        <v>594</v>
      </c>
      <c r="D1268" s="1317" t="s">
        <v>431</v>
      </c>
      <c r="E1268" s="1318">
        <v>1</v>
      </c>
      <c r="F1268" s="1317" t="s">
        <v>441</v>
      </c>
      <c r="G1268" s="1315">
        <v>609.55999999999995</v>
      </c>
      <c r="H1268" s="238">
        <f t="shared" si="576"/>
        <v>5.4668863510656312E-3</v>
      </c>
      <c r="I1268" s="1490">
        <f>IF(H966&gt;0,$AE$1192/(1000000/((H966/$U$890)*$U$1189)),0)</f>
        <v>5.4668863510656312E-3</v>
      </c>
      <c r="J1268" s="1483"/>
      <c r="K1268" s="1483"/>
      <c r="L1268" s="1318">
        <v>0.5</v>
      </c>
      <c r="M1268" s="233">
        <f t="shared" si="575"/>
        <v>1.666197622077783</v>
      </c>
      <c r="N1268" s="233">
        <f t="shared" si="564"/>
        <v>1.666197622077783</v>
      </c>
      <c r="O1268" s="234">
        <f t="shared" si="565"/>
        <v>0</v>
      </c>
      <c r="P1268" s="234">
        <f t="shared" si="571"/>
        <v>0</v>
      </c>
      <c r="Q1268" s="1341">
        <v>0</v>
      </c>
    </row>
    <row r="1269" spans="1:18" hidden="1" outlineLevel="1">
      <c r="A1269" s="270" t="s">
        <v>1200</v>
      </c>
      <c r="B1269" s="1316" t="s">
        <v>409</v>
      </c>
      <c r="C1269" s="1316" t="s">
        <v>594</v>
      </c>
      <c r="D1269" s="1317" t="s">
        <v>431</v>
      </c>
      <c r="E1269" s="1318">
        <v>1</v>
      </c>
      <c r="F1269" s="1319" t="s">
        <v>442</v>
      </c>
      <c r="G1269" s="1315">
        <v>5052</v>
      </c>
      <c r="H1269" s="238">
        <f t="shared" si="576"/>
        <v>0</v>
      </c>
      <c r="I1269" s="1490">
        <f>IF(H967&gt;0,$AE$1193/(1000000/((H967/$U$891)*$U$1189)),0)</f>
        <v>0</v>
      </c>
      <c r="J1269" s="1483"/>
      <c r="K1269" s="1483"/>
      <c r="L1269" s="1318">
        <v>0.5</v>
      </c>
      <c r="M1269" s="233">
        <f t="shared" si="575"/>
        <v>0</v>
      </c>
      <c r="N1269" s="233">
        <f t="shared" si="564"/>
        <v>0</v>
      </c>
      <c r="O1269" s="234">
        <f t="shared" si="565"/>
        <v>0</v>
      </c>
      <c r="P1269" s="234">
        <f t="shared" si="571"/>
        <v>0</v>
      </c>
      <c r="Q1269" s="1341">
        <v>0</v>
      </c>
    </row>
    <row r="1270" spans="1:18" hidden="1" outlineLevel="1">
      <c r="A1270" s="270" t="s">
        <v>1200</v>
      </c>
      <c r="B1270" s="1316" t="s">
        <v>409</v>
      </c>
      <c r="C1270" s="1316" t="s">
        <v>594</v>
      </c>
      <c r="D1270" s="1317" t="s">
        <v>431</v>
      </c>
      <c r="E1270" s="1318">
        <v>1</v>
      </c>
      <c r="F1270" s="1319" t="s">
        <v>443</v>
      </c>
      <c r="G1270" s="1315">
        <v>3737</v>
      </c>
      <c r="H1270" s="238">
        <f t="shared" si="576"/>
        <v>2.6877398071110097E-3</v>
      </c>
      <c r="I1270" s="1490">
        <f>IF(H968&gt;0,$AE$1194/(1000000/((H968/$U$892)*$U$1189)),0)</f>
        <v>2.6877398071110097E-3</v>
      </c>
      <c r="J1270" s="1483"/>
      <c r="K1270" s="1483"/>
      <c r="L1270" s="1318">
        <v>0.5</v>
      </c>
      <c r="M1270" s="235">
        <f t="shared" si="575"/>
        <v>5.0220418295869216</v>
      </c>
      <c r="N1270" s="233">
        <f t="shared" si="564"/>
        <v>5.0220418295869216</v>
      </c>
      <c r="O1270" s="234">
        <f t="shared" si="565"/>
        <v>0</v>
      </c>
      <c r="P1270" s="234">
        <f t="shared" si="571"/>
        <v>0</v>
      </c>
      <c r="Q1270" s="1341">
        <v>0</v>
      </c>
    </row>
    <row r="1271" spans="1:18" hidden="1" outlineLevel="1">
      <c r="A1271" s="191" t="s">
        <v>1200</v>
      </c>
      <c r="B1271" s="1320" t="s">
        <v>409</v>
      </c>
      <c r="C1271" s="1320" t="s">
        <v>594</v>
      </c>
      <c r="D1271" s="1321" t="s">
        <v>431</v>
      </c>
      <c r="E1271" s="1322">
        <v>1</v>
      </c>
      <c r="F1271" s="1324" t="s">
        <v>444</v>
      </c>
      <c r="G1271" s="1323">
        <v>15889</v>
      </c>
      <c r="H1271" s="239">
        <f t="shared" si="576"/>
        <v>1.7632713291333593E-4</v>
      </c>
      <c r="I1271" s="1490">
        <f>IF(H969&gt;0,$AE$1195/(1000000/((H969/$U$893)*$U$1189)),0)</f>
        <v>1.7632713291333593E-4</v>
      </c>
      <c r="J1271" s="1482"/>
      <c r="K1271" s="1482"/>
      <c r="L1271" s="1322">
        <v>0.5</v>
      </c>
      <c r="M1271" s="267">
        <f t="shared" si="575"/>
        <v>1.4008309074299974</v>
      </c>
      <c r="N1271" s="227">
        <f t="shared" si="564"/>
        <v>1.4008309074299974</v>
      </c>
      <c r="O1271" s="228">
        <f t="shared" si="565"/>
        <v>0</v>
      </c>
      <c r="P1271" s="228">
        <f t="shared" si="571"/>
        <v>0</v>
      </c>
      <c r="Q1271" s="1342">
        <v>0</v>
      </c>
      <c r="R1271" s="512">
        <f>SUM(M1230:M1271)</f>
        <v>1353.0640651574051</v>
      </c>
    </row>
    <row r="1272" spans="1:18" hidden="1" outlineLevel="1">
      <c r="A1272" s="270" t="s">
        <v>1200</v>
      </c>
      <c r="B1272" s="1308" t="s">
        <v>434</v>
      </c>
      <c r="C1272" s="1308" t="s">
        <v>435</v>
      </c>
      <c r="D1272" s="1309" t="s">
        <v>432</v>
      </c>
      <c r="E1272" s="1310">
        <v>1</v>
      </c>
      <c r="F1272" s="1309" t="s">
        <v>868</v>
      </c>
      <c r="G1272" s="1311">
        <v>1736</v>
      </c>
      <c r="H1272" s="778">
        <f>SUM(I1272:K1272)</f>
        <v>5.7006901567967519E-2</v>
      </c>
      <c r="I1272" s="1489">
        <f>IF(H970&gt;0,$AE$1190/(1000000/((H970/$U$888)*$U$1189)),0)</f>
        <v>5.7006901567967519E-2</v>
      </c>
      <c r="J1272" s="1489"/>
      <c r="K1272" s="1489"/>
      <c r="L1272" s="1310">
        <v>0.5</v>
      </c>
      <c r="M1272" s="772">
        <f>SUM(N1272:P1272)-Q1272</f>
        <v>49.481990560995804</v>
      </c>
      <c r="N1272" s="772">
        <f t="shared" si="564"/>
        <v>49.481990560995804</v>
      </c>
      <c r="O1272" s="773">
        <f t="shared" si="565"/>
        <v>0</v>
      </c>
      <c r="P1272" s="773">
        <f>E1272*G1272*K1272*L1272*15</f>
        <v>0</v>
      </c>
      <c r="Q1272" s="1339">
        <v>0</v>
      </c>
      <c r="R1272" s="774"/>
    </row>
    <row r="1273" spans="1:18" hidden="1" outlineLevel="1">
      <c r="A1273" s="270" t="s">
        <v>1200</v>
      </c>
      <c r="B1273" s="1312" t="s">
        <v>434</v>
      </c>
      <c r="C1273" s="1312" t="s">
        <v>435</v>
      </c>
      <c r="D1273" s="1313" t="s">
        <v>432</v>
      </c>
      <c r="E1273" s="1314">
        <v>1</v>
      </c>
      <c r="F1273" s="1319" t="s">
        <v>441</v>
      </c>
      <c r="G1273" s="1315">
        <v>609.55999999999995</v>
      </c>
      <c r="H1273" s="237">
        <f t="shared" ref="H1273:H1274" si="577">SUM(I1273:K1273)</f>
        <v>4.5525851500732267E-2</v>
      </c>
      <c r="I1273" s="1490">
        <f>IF(H971&gt;0,$AE$1192/(1000000/((H971/$U$890)*$U$1189)),0)</f>
        <v>4.5525851500732267E-2</v>
      </c>
      <c r="J1273" s="1490"/>
      <c r="K1273" s="1490"/>
      <c r="L1273" s="1314">
        <v>0.5</v>
      </c>
      <c r="M1273" s="223">
        <f t="shared" ref="M1273:M1274" si="578">SUM(N1273:P1273)-Q1273</f>
        <v>13.87536902039318</v>
      </c>
      <c r="N1273" s="223">
        <f t="shared" si="564"/>
        <v>13.87536902039318</v>
      </c>
      <c r="O1273" s="224">
        <f t="shared" si="565"/>
        <v>0</v>
      </c>
      <c r="P1273" s="224">
        <f t="shared" ref="P1273:P1274" si="579">E1273*G1273*K1273*L1273*15</f>
        <v>0</v>
      </c>
      <c r="Q1273" s="1340">
        <v>0</v>
      </c>
    </row>
    <row r="1274" spans="1:18" hidden="1" outlineLevel="1">
      <c r="A1274" s="270" t="s">
        <v>1200</v>
      </c>
      <c r="B1274" s="1316" t="s">
        <v>434</v>
      </c>
      <c r="C1274" s="1316" t="s">
        <v>435</v>
      </c>
      <c r="D1274" s="1313" t="s">
        <v>432</v>
      </c>
      <c r="E1274" s="1318">
        <v>1</v>
      </c>
      <c r="F1274" s="1319" t="s">
        <v>442</v>
      </c>
      <c r="G1274" s="1315">
        <v>5052</v>
      </c>
      <c r="H1274" s="238">
        <f t="shared" si="577"/>
        <v>0</v>
      </c>
      <c r="I1274" s="1490">
        <f>IF(H972&gt;0,$AE$1193/(1000000/((H972/$U$891)*$U$1189)),0)</f>
        <v>0</v>
      </c>
      <c r="J1274" s="1483"/>
      <c r="K1274" s="1483"/>
      <c r="L1274" s="1318">
        <v>0.5</v>
      </c>
      <c r="M1274" s="233">
        <f t="shared" si="578"/>
        <v>0</v>
      </c>
      <c r="N1274" s="233">
        <f t="shared" si="564"/>
        <v>0</v>
      </c>
      <c r="O1274" s="234">
        <f t="shared" si="565"/>
        <v>0</v>
      </c>
      <c r="P1274" s="234">
        <f t="shared" si="579"/>
        <v>0</v>
      </c>
      <c r="Q1274" s="1341">
        <v>0</v>
      </c>
    </row>
    <row r="1275" spans="1:18" hidden="1" outlineLevel="1">
      <c r="A1275" s="270" t="s">
        <v>1200</v>
      </c>
      <c r="B1275" s="1316" t="s">
        <v>434</v>
      </c>
      <c r="C1275" s="1316" t="s">
        <v>435</v>
      </c>
      <c r="D1275" s="1317" t="s">
        <v>432</v>
      </c>
      <c r="E1275" s="1318">
        <v>1</v>
      </c>
      <c r="F1275" s="1319" t="s">
        <v>443</v>
      </c>
      <c r="G1275" s="1315">
        <v>3737</v>
      </c>
      <c r="H1275" s="238">
        <f>SUM(I1275:K1275)</f>
        <v>0.2757263838426231</v>
      </c>
      <c r="I1275" s="1490">
        <f>IF(H973&gt;0,$AE$1194/(1000000/((H973/$U$892)*$U$1189)),0)</f>
        <v>0.2757263838426231</v>
      </c>
      <c r="J1275" s="1483"/>
      <c r="K1275" s="1483"/>
      <c r="L1275" s="1318">
        <v>0.5</v>
      </c>
      <c r="M1275" s="233">
        <f>SUM(N1275:P1275)-Q1275</f>
        <v>515.19474820994128</v>
      </c>
      <c r="N1275" s="233">
        <f t="shared" si="564"/>
        <v>515.19474820994128</v>
      </c>
      <c r="O1275" s="234">
        <f t="shared" si="565"/>
        <v>0</v>
      </c>
      <c r="P1275" s="234">
        <f>E1275*G1275*K1275*L1275*15</f>
        <v>0</v>
      </c>
      <c r="Q1275" s="1341">
        <v>0</v>
      </c>
    </row>
    <row r="1276" spans="1:18" hidden="1" outlineLevel="1">
      <c r="A1276" s="270" t="s">
        <v>1200</v>
      </c>
      <c r="B1276" s="1316" t="s">
        <v>434</v>
      </c>
      <c r="C1276" s="1316" t="s">
        <v>435</v>
      </c>
      <c r="D1276" s="1317" t="s">
        <v>432</v>
      </c>
      <c r="E1276" s="1318">
        <v>1</v>
      </c>
      <c r="F1276" s="1317" t="s">
        <v>444</v>
      </c>
      <c r="G1276" s="1315">
        <v>15889</v>
      </c>
      <c r="H1276" s="238">
        <f>SUM(I1276:K1276)</f>
        <v>3.4746241135755702E-2</v>
      </c>
      <c r="I1276" s="1490">
        <f>IF(H974&gt;0,$AE$1195/(1000000/((H974/$U$893)*$U$1189)),0)</f>
        <v>3.4746241135755702E-2</v>
      </c>
      <c r="J1276" s="1483"/>
      <c r="K1276" s="1483"/>
      <c r="L1276" s="1318">
        <v>0.5</v>
      </c>
      <c r="M1276" s="233">
        <f>SUM(N1276:P1276)-Q1276</f>
        <v>276.04151270301116</v>
      </c>
      <c r="N1276" s="233">
        <f t="shared" si="564"/>
        <v>276.04151270301116</v>
      </c>
      <c r="O1276" s="234">
        <f t="shared" si="565"/>
        <v>0</v>
      </c>
      <c r="P1276" s="234">
        <f>E1276*G1276*K1276*L1276*15</f>
        <v>0</v>
      </c>
      <c r="Q1276" s="1341">
        <v>0</v>
      </c>
    </row>
    <row r="1277" spans="1:18" hidden="1" outlineLevel="1">
      <c r="A1277" s="270" t="s">
        <v>1200</v>
      </c>
      <c r="B1277" s="1320" t="s">
        <v>434</v>
      </c>
      <c r="C1277" s="1320" t="s">
        <v>435</v>
      </c>
      <c r="D1277" s="1321" t="s">
        <v>432</v>
      </c>
      <c r="E1277" s="1322">
        <v>1</v>
      </c>
      <c r="F1277" s="1324" t="s">
        <v>445</v>
      </c>
      <c r="G1277" s="1323">
        <v>32171</v>
      </c>
      <c r="H1277" s="239">
        <f t="shared" ref="H1277:H1284" si="580">SUM(I1277:K1277)</f>
        <v>0</v>
      </c>
      <c r="I1277" s="1482">
        <f>IF(H975&gt;0,$AE$1196/(1000000/((H975/$U$894)*$U$1189)),0)</f>
        <v>0</v>
      </c>
      <c r="J1277" s="1482"/>
      <c r="K1277" s="1482"/>
      <c r="L1277" s="1322">
        <v>0.5</v>
      </c>
      <c r="M1277" s="227">
        <f t="shared" ref="M1277" si="581">SUM(N1277:P1277)-Q1277</f>
        <v>0</v>
      </c>
      <c r="N1277" s="227">
        <f t="shared" si="564"/>
        <v>0</v>
      </c>
      <c r="O1277" s="228">
        <f t="shared" si="565"/>
        <v>0</v>
      </c>
      <c r="P1277" s="228">
        <f t="shared" ref="P1277" si="582">E1277*G1277*K1277*L1277*15</f>
        <v>0</v>
      </c>
      <c r="Q1277" s="1342">
        <v>0</v>
      </c>
    </row>
    <row r="1278" spans="1:18" hidden="1" outlineLevel="1">
      <c r="A1278" s="270" t="s">
        <v>1200</v>
      </c>
      <c r="B1278" s="1320" t="s">
        <v>869</v>
      </c>
      <c r="C1278" s="1320" t="s">
        <v>870</v>
      </c>
      <c r="D1278" s="1321" t="s">
        <v>432</v>
      </c>
      <c r="E1278" s="1322">
        <v>1</v>
      </c>
      <c r="F1278" s="1324" t="s">
        <v>442</v>
      </c>
      <c r="G1278" s="1323">
        <v>5052</v>
      </c>
      <c r="H1278" s="239">
        <f t="shared" si="580"/>
        <v>0</v>
      </c>
      <c r="I1278" s="1482">
        <f>IF(H976&gt;0,$AE$1193/(1000000/((H976/$U$891)*$U$1189)),0)</f>
        <v>0</v>
      </c>
      <c r="J1278" s="1482"/>
      <c r="K1278" s="1482"/>
      <c r="L1278" s="1322">
        <v>0.5</v>
      </c>
      <c r="M1278" s="520">
        <f t="shared" ref="M1278:M1289" si="583">SUM(N1278:P1278)-Q1278</f>
        <v>0</v>
      </c>
      <c r="N1278" s="521">
        <v>0</v>
      </c>
      <c r="O1278" s="522">
        <f t="shared" ref="O1278:O1281" si="584">E1278*G1278*J1278</f>
        <v>0</v>
      </c>
      <c r="P1278" s="522"/>
      <c r="Q1278" s="1342">
        <v>0</v>
      </c>
    </row>
    <row r="1279" spans="1:18" hidden="1" outlineLevel="1">
      <c r="A1279" s="270" t="s">
        <v>1200</v>
      </c>
      <c r="B1279" s="1320" t="s">
        <v>1301</v>
      </c>
      <c r="C1279" s="1320" t="s">
        <v>867</v>
      </c>
      <c r="D1279" s="1321" t="s">
        <v>432</v>
      </c>
      <c r="E1279" s="1322">
        <v>1.5</v>
      </c>
      <c r="F1279" s="1324" t="s">
        <v>441</v>
      </c>
      <c r="G1279" s="1323">
        <v>609.55999999999995</v>
      </c>
      <c r="H1279" s="239">
        <f t="shared" si="580"/>
        <v>0</v>
      </c>
      <c r="I1279" s="1482">
        <f>IF(H977&gt;0,$AE$1192/(1000000/((H977/$U$890)*$U$1189)),0)</f>
        <v>0</v>
      </c>
      <c r="J1279" s="1482"/>
      <c r="K1279" s="1482"/>
      <c r="L1279" s="1322">
        <v>0.5</v>
      </c>
      <c r="M1279" s="520">
        <f t="shared" si="583"/>
        <v>0</v>
      </c>
      <c r="N1279" s="521">
        <v>0</v>
      </c>
      <c r="O1279" s="522">
        <f t="shared" si="584"/>
        <v>0</v>
      </c>
      <c r="P1279" s="522"/>
      <c r="Q1279" s="1342">
        <v>0</v>
      </c>
    </row>
    <row r="1280" spans="1:18" hidden="1" outlineLevel="1">
      <c r="A1280" s="270" t="s">
        <v>1200</v>
      </c>
      <c r="B1280" s="1325" t="s">
        <v>620</v>
      </c>
      <c r="C1280" s="1325" t="s">
        <v>621</v>
      </c>
      <c r="D1280" s="1321" t="s">
        <v>432</v>
      </c>
      <c r="E1280" s="1327">
        <v>1</v>
      </c>
      <c r="F1280" s="1324" t="s">
        <v>441</v>
      </c>
      <c r="G1280" s="1323">
        <v>580.53</v>
      </c>
      <c r="H1280" s="239">
        <f t="shared" si="580"/>
        <v>1.7719432299680905E-2</v>
      </c>
      <c r="I1280" s="1482">
        <f>IF(H978&gt;0,$AE$1192/(1000000/((H978/$U$890)*$U$1189)),0)</f>
        <v>1.7719432299680905E-2</v>
      </c>
      <c r="J1280" s="1338"/>
      <c r="K1280" s="1338"/>
      <c r="L1280" s="1322">
        <v>0.5</v>
      </c>
      <c r="M1280" s="520">
        <f t="shared" si="583"/>
        <v>0</v>
      </c>
      <c r="N1280" s="521">
        <v>0</v>
      </c>
      <c r="O1280" s="522">
        <f t="shared" si="584"/>
        <v>0</v>
      </c>
      <c r="P1280" s="522"/>
      <c r="Q1280" s="1342">
        <v>0</v>
      </c>
    </row>
    <row r="1281" spans="1:17" hidden="1" outlineLevel="1">
      <c r="A1281" s="270" t="s">
        <v>1200</v>
      </c>
      <c r="B1281" s="1325" t="s">
        <v>622</v>
      </c>
      <c r="C1281" s="1325" t="s">
        <v>619</v>
      </c>
      <c r="D1281" s="1321" t="s">
        <v>432</v>
      </c>
      <c r="E1281" s="1327">
        <v>1</v>
      </c>
      <c r="F1281" s="1324" t="s">
        <v>441</v>
      </c>
      <c r="G1281" s="1323">
        <v>580.53</v>
      </c>
      <c r="H1281" s="239">
        <f t="shared" si="580"/>
        <v>0.61800268128687541</v>
      </c>
      <c r="I1281" s="1490">
        <f>IF(H979&gt;0,$AE$1192/(1000000/((H979/$U$890)*$U$1189)),0)</f>
        <v>0.61800268128687541</v>
      </c>
      <c r="J1281" s="1338"/>
      <c r="K1281" s="1338"/>
      <c r="L1281" s="1322">
        <v>0.5</v>
      </c>
      <c r="M1281" s="520">
        <f t="shared" si="583"/>
        <v>0</v>
      </c>
      <c r="N1281" s="521">
        <v>0</v>
      </c>
      <c r="O1281" s="522">
        <f t="shared" si="584"/>
        <v>0</v>
      </c>
      <c r="P1281" s="522"/>
      <c r="Q1281" s="1342">
        <v>0</v>
      </c>
    </row>
    <row r="1282" spans="1:17" hidden="1" outlineLevel="1">
      <c r="A1282" s="270" t="s">
        <v>1200</v>
      </c>
      <c r="B1282" s="1316" t="s">
        <v>436</v>
      </c>
      <c r="C1282" s="1316" t="s">
        <v>591</v>
      </c>
      <c r="D1282" s="1317" t="s">
        <v>432</v>
      </c>
      <c r="E1282" s="1318">
        <v>1</v>
      </c>
      <c r="F1282" s="1317" t="s">
        <v>868</v>
      </c>
      <c r="G1282" s="1311">
        <v>1736</v>
      </c>
      <c r="H1282" s="238">
        <f t="shared" si="580"/>
        <v>0</v>
      </c>
      <c r="I1282" s="1489">
        <f>IF(H980&gt;0,$AE$1190/(1000000/((H980/$U$888)*$U$1189)),0)</f>
        <v>0</v>
      </c>
      <c r="J1282" s="1483"/>
      <c r="K1282" s="1483"/>
      <c r="L1282" s="1318">
        <v>0.5</v>
      </c>
      <c r="M1282" s="233">
        <f t="shared" si="583"/>
        <v>0</v>
      </c>
      <c r="N1282" s="233">
        <f t="shared" ref="N1282:N1317" si="585">E1282*G1282*I1282*L1282</f>
        <v>0</v>
      </c>
      <c r="O1282" s="234">
        <f t="shared" ref="O1282:O1317" si="586">E1282*G1282*J1282*L1282*10</f>
        <v>0</v>
      </c>
      <c r="P1282" s="234">
        <f t="shared" ref="P1282:P1289" si="587">E1282*G1282*K1282*L1282*15</f>
        <v>0</v>
      </c>
      <c r="Q1282" s="1341">
        <v>0</v>
      </c>
    </row>
    <row r="1283" spans="1:17" hidden="1" outlineLevel="1">
      <c r="A1283" s="270" t="s">
        <v>1200</v>
      </c>
      <c r="B1283" s="1316" t="s">
        <v>436</v>
      </c>
      <c r="C1283" s="1316" t="s">
        <v>591</v>
      </c>
      <c r="D1283" s="1317" t="s">
        <v>432</v>
      </c>
      <c r="E1283" s="1318">
        <v>1</v>
      </c>
      <c r="F1283" s="1319" t="s">
        <v>441</v>
      </c>
      <c r="G1283" s="1315">
        <v>609.55999999999995</v>
      </c>
      <c r="H1283" s="238">
        <f t="shared" si="580"/>
        <v>0</v>
      </c>
      <c r="I1283" s="1490">
        <f>IF(H981&gt;0,$AE$1192/(1000000/((H981/$U$890)*$U$1189)),0)</f>
        <v>0</v>
      </c>
      <c r="J1283" s="1483"/>
      <c r="K1283" s="1483"/>
      <c r="L1283" s="1318">
        <v>0.5</v>
      </c>
      <c r="M1283" s="233">
        <f t="shared" si="583"/>
        <v>0</v>
      </c>
      <c r="N1283" s="233">
        <f t="shared" si="585"/>
        <v>0</v>
      </c>
      <c r="O1283" s="234">
        <f t="shared" si="586"/>
        <v>0</v>
      </c>
      <c r="P1283" s="234">
        <f t="shared" si="587"/>
        <v>0</v>
      </c>
      <c r="Q1283" s="1341">
        <v>0</v>
      </c>
    </row>
    <row r="1284" spans="1:17" hidden="1" outlineLevel="1">
      <c r="A1284" s="270" t="s">
        <v>1200</v>
      </c>
      <c r="B1284" s="1316" t="s">
        <v>436</v>
      </c>
      <c r="C1284" s="1316" t="s">
        <v>591</v>
      </c>
      <c r="D1284" s="1317" t="s">
        <v>432</v>
      </c>
      <c r="E1284" s="1318">
        <v>1</v>
      </c>
      <c r="F1284" s="1319" t="s">
        <v>443</v>
      </c>
      <c r="G1284" s="1315">
        <v>3737</v>
      </c>
      <c r="H1284" s="238">
        <f t="shared" si="580"/>
        <v>0</v>
      </c>
      <c r="I1284" s="1490">
        <f>IF(H982&gt;0,$AE$1194/(1000000/((H982/$U$892)*$U$1189)),0)</f>
        <v>0</v>
      </c>
      <c r="J1284" s="1483"/>
      <c r="K1284" s="1483"/>
      <c r="L1284" s="1318">
        <v>0.5</v>
      </c>
      <c r="M1284" s="233">
        <f t="shared" si="583"/>
        <v>0</v>
      </c>
      <c r="N1284" s="233">
        <f t="shared" si="585"/>
        <v>0</v>
      </c>
      <c r="O1284" s="234">
        <f t="shared" si="586"/>
        <v>0</v>
      </c>
      <c r="P1284" s="234">
        <f t="shared" si="587"/>
        <v>0</v>
      </c>
      <c r="Q1284" s="1341">
        <v>0</v>
      </c>
    </row>
    <row r="1285" spans="1:17" hidden="1" outlineLevel="1">
      <c r="A1285" s="270" t="s">
        <v>1200</v>
      </c>
      <c r="B1285" s="1320" t="s">
        <v>436</v>
      </c>
      <c r="C1285" s="1320" t="s">
        <v>591</v>
      </c>
      <c r="D1285" s="1321" t="s">
        <v>432</v>
      </c>
      <c r="E1285" s="1322">
        <v>1</v>
      </c>
      <c r="F1285" s="1324" t="s">
        <v>444</v>
      </c>
      <c r="G1285" s="1323">
        <v>15889</v>
      </c>
      <c r="H1285" s="239">
        <f t="shared" ref="H1285:H1289" si="588">SUM(I1285:K1285)</f>
        <v>0</v>
      </c>
      <c r="I1285" s="1490">
        <f>IF(H983&gt;0,$AE$1195/(1000000/((H983/$U$893)*$U$1189)),0)</f>
        <v>0</v>
      </c>
      <c r="J1285" s="1482"/>
      <c r="K1285" s="1482"/>
      <c r="L1285" s="1322">
        <v>0.5</v>
      </c>
      <c r="M1285" s="227">
        <f t="shared" si="583"/>
        <v>0</v>
      </c>
      <c r="N1285" s="227">
        <f t="shared" si="585"/>
        <v>0</v>
      </c>
      <c r="O1285" s="228">
        <f t="shared" si="586"/>
        <v>0</v>
      </c>
      <c r="P1285" s="228">
        <f t="shared" si="587"/>
        <v>0</v>
      </c>
      <c r="Q1285" s="1342">
        <v>0</v>
      </c>
    </row>
    <row r="1286" spans="1:17" hidden="1" outlineLevel="1">
      <c r="A1286" s="270" t="s">
        <v>1200</v>
      </c>
      <c r="B1286" s="1316" t="s">
        <v>437</v>
      </c>
      <c r="C1286" s="1316" t="s">
        <v>592</v>
      </c>
      <c r="D1286" s="1317" t="s">
        <v>432</v>
      </c>
      <c r="E1286" s="1318">
        <v>1</v>
      </c>
      <c r="F1286" s="1317" t="s">
        <v>868</v>
      </c>
      <c r="G1286" s="1311">
        <v>1736</v>
      </c>
      <c r="H1286" s="238">
        <f t="shared" si="588"/>
        <v>3.700401743560259E-4</v>
      </c>
      <c r="I1286" s="1489">
        <f>IF(H984&gt;0,$AE$1190/(1000000/((H984/$U$888)*$U$1189)),0)</f>
        <v>3.700401743560259E-4</v>
      </c>
      <c r="J1286" s="1483"/>
      <c r="K1286" s="1483"/>
      <c r="L1286" s="1318">
        <v>0.5</v>
      </c>
      <c r="M1286" s="233">
        <f t="shared" si="583"/>
        <v>0.32119487134103047</v>
      </c>
      <c r="N1286" s="233">
        <f t="shared" si="585"/>
        <v>0.32119487134103047</v>
      </c>
      <c r="O1286" s="234">
        <f t="shared" si="586"/>
        <v>0</v>
      </c>
      <c r="P1286" s="234">
        <f t="shared" si="587"/>
        <v>0</v>
      </c>
      <c r="Q1286" s="1341">
        <v>0</v>
      </c>
    </row>
    <row r="1287" spans="1:17" hidden="1" outlineLevel="1">
      <c r="A1287" s="270" t="s">
        <v>1200</v>
      </c>
      <c r="B1287" s="1316" t="s">
        <v>437</v>
      </c>
      <c r="C1287" s="1316" t="s">
        <v>592</v>
      </c>
      <c r="D1287" s="1317" t="s">
        <v>432</v>
      </c>
      <c r="E1287" s="1318">
        <v>1</v>
      </c>
      <c r="F1287" s="1319" t="s">
        <v>441</v>
      </c>
      <c r="G1287" s="1315">
        <v>609.55999999999995</v>
      </c>
      <c r="H1287" s="238">
        <f t="shared" si="588"/>
        <v>2.9001638231185051E-4</v>
      </c>
      <c r="I1287" s="1490">
        <f>IF(H985&gt;0,$AE$1192/(1000000/((H985/$U$890)*$U$1189)),0)</f>
        <v>2.9001638231185051E-4</v>
      </c>
      <c r="J1287" s="1483"/>
      <c r="K1287" s="1483"/>
      <c r="L1287" s="1318">
        <v>0.5</v>
      </c>
      <c r="M1287" s="233">
        <f t="shared" si="583"/>
        <v>8.8391193001005786E-2</v>
      </c>
      <c r="N1287" s="233">
        <f t="shared" si="585"/>
        <v>8.8391193001005786E-2</v>
      </c>
      <c r="O1287" s="234">
        <f t="shared" si="586"/>
        <v>0</v>
      </c>
      <c r="P1287" s="234">
        <f t="shared" si="587"/>
        <v>0</v>
      </c>
      <c r="Q1287" s="1341">
        <v>0</v>
      </c>
    </row>
    <row r="1288" spans="1:17" hidden="1" outlineLevel="1">
      <c r="A1288" s="270" t="s">
        <v>1200</v>
      </c>
      <c r="B1288" s="1316" t="s">
        <v>437</v>
      </c>
      <c r="C1288" s="1316" t="s">
        <v>592</v>
      </c>
      <c r="D1288" s="1317" t="s">
        <v>432</v>
      </c>
      <c r="E1288" s="1318">
        <v>1</v>
      </c>
      <c r="F1288" s="1319" t="s">
        <v>443</v>
      </c>
      <c r="G1288" s="1315">
        <v>3737</v>
      </c>
      <c r="H1288" s="238">
        <f t="shared" si="588"/>
        <v>2.0038254639725514E-4</v>
      </c>
      <c r="I1288" s="1490">
        <f>IF(H986&gt;0,$AE$1194/(1000000/((H986/$U$892)*$U$1189)),0)</f>
        <v>2.0038254639725514E-4</v>
      </c>
      <c r="J1288" s="1483"/>
      <c r="K1288" s="1483"/>
      <c r="L1288" s="1318">
        <v>0.5</v>
      </c>
      <c r="M1288" s="233">
        <f t="shared" si="583"/>
        <v>0.37441478794327121</v>
      </c>
      <c r="N1288" s="233">
        <f t="shared" si="585"/>
        <v>0.37441478794327121</v>
      </c>
      <c r="O1288" s="234">
        <f t="shared" si="586"/>
        <v>0</v>
      </c>
      <c r="P1288" s="234">
        <f t="shared" si="587"/>
        <v>0</v>
      </c>
      <c r="Q1288" s="1341">
        <v>0</v>
      </c>
    </row>
    <row r="1289" spans="1:17" hidden="1" outlineLevel="1">
      <c r="A1289" s="270" t="s">
        <v>1200</v>
      </c>
      <c r="B1289" s="1320" t="s">
        <v>437</v>
      </c>
      <c r="C1289" s="1320" t="s">
        <v>592</v>
      </c>
      <c r="D1289" s="1321" t="s">
        <v>432</v>
      </c>
      <c r="E1289" s="1322">
        <v>1</v>
      </c>
      <c r="F1289" s="1324" t="s">
        <v>444</v>
      </c>
      <c r="G1289" s="1323">
        <v>15889</v>
      </c>
      <c r="H1289" s="239">
        <f t="shared" si="588"/>
        <v>4.8979759142593324E-5</v>
      </c>
      <c r="I1289" s="1490">
        <f>IF(H987&gt;0,$AE$1195/(1000000/((H987/$U$893)*$U$1189)),0)</f>
        <v>4.8979759142593324E-5</v>
      </c>
      <c r="J1289" s="1482"/>
      <c r="K1289" s="1482"/>
      <c r="L1289" s="1322">
        <v>0.5</v>
      </c>
      <c r="M1289" s="227">
        <f t="shared" si="583"/>
        <v>0.38911969650833267</v>
      </c>
      <c r="N1289" s="227">
        <f t="shared" si="585"/>
        <v>0.38911969650833267</v>
      </c>
      <c r="O1289" s="228">
        <f t="shared" si="586"/>
        <v>0</v>
      </c>
      <c r="P1289" s="228">
        <f t="shared" si="587"/>
        <v>0</v>
      </c>
      <c r="Q1289" s="1342">
        <v>0</v>
      </c>
    </row>
    <row r="1290" spans="1:17" hidden="1" outlineLevel="1">
      <c r="A1290" s="270" t="s">
        <v>1200</v>
      </c>
      <c r="B1290" s="1316" t="s">
        <v>438</v>
      </c>
      <c r="C1290" s="1316" t="s">
        <v>593</v>
      </c>
      <c r="D1290" s="1317" t="s">
        <v>432</v>
      </c>
      <c r="E1290" s="1318">
        <v>1</v>
      </c>
      <c r="F1290" s="1319" t="s">
        <v>868</v>
      </c>
      <c r="G1290" s="1311">
        <v>1736</v>
      </c>
      <c r="H1290" s="238">
        <f>SUM(I1290:K1290)</f>
        <v>3.987583049358194E-3</v>
      </c>
      <c r="I1290" s="1489">
        <f>IF(H988&gt;0,$AE$1190/(1000000/((H988/$U$888)*$U$1189)),0)</f>
        <v>3.987583049358194E-3</v>
      </c>
      <c r="J1290" s="1483"/>
      <c r="K1290" s="1483"/>
      <c r="L1290" s="1310">
        <v>0.5</v>
      </c>
      <c r="M1290" s="233">
        <f>SUM(N1290:P1290)-Q1290</f>
        <v>3.4612220868429122</v>
      </c>
      <c r="N1290" s="233">
        <f t="shared" si="585"/>
        <v>3.4612220868429122</v>
      </c>
      <c r="O1290" s="234">
        <f t="shared" si="586"/>
        <v>0</v>
      </c>
      <c r="P1290" s="234">
        <f>E1290*G1290*K1290*L1290*15</f>
        <v>0</v>
      </c>
      <c r="Q1290" s="1341">
        <v>0</v>
      </c>
    </row>
    <row r="1291" spans="1:17" hidden="1" outlineLevel="1">
      <c r="A1291" s="270" t="s">
        <v>1200</v>
      </c>
      <c r="B1291" s="1316" t="s">
        <v>438</v>
      </c>
      <c r="C1291" s="1316" t="s">
        <v>593</v>
      </c>
      <c r="D1291" s="1317" t="s">
        <v>432</v>
      </c>
      <c r="E1291" s="1318">
        <v>1</v>
      </c>
      <c r="F1291" s="1319" t="s">
        <v>441</v>
      </c>
      <c r="G1291" s="1315">
        <v>609.55999999999995</v>
      </c>
      <c r="H1291" s="238">
        <f t="shared" ref="H1291" si="589">SUM(I1291:K1291)</f>
        <v>6.169956368791329E-3</v>
      </c>
      <c r="I1291" s="1490">
        <f>IF(H989&gt;0,$AE$1192/(1000000/((H989/$U$890)*$U$1189)),0)</f>
        <v>6.169956368791329E-3</v>
      </c>
      <c r="J1291" s="1483"/>
      <c r="K1291" s="1483"/>
      <c r="L1291" s="1314">
        <v>0.5</v>
      </c>
      <c r="M1291" s="233">
        <f t="shared" ref="M1291" si="590">SUM(N1291:P1291)-Q1291</f>
        <v>1.8804793020802211</v>
      </c>
      <c r="N1291" s="233">
        <f t="shared" si="585"/>
        <v>1.8804793020802211</v>
      </c>
      <c r="O1291" s="234">
        <f t="shared" si="586"/>
        <v>0</v>
      </c>
      <c r="P1291" s="234">
        <f t="shared" ref="P1291:P1311" si="591">E1291*G1291*K1291*L1291*15</f>
        <v>0</v>
      </c>
      <c r="Q1291" s="1341">
        <v>0</v>
      </c>
    </row>
    <row r="1292" spans="1:17" hidden="1" outlineLevel="1">
      <c r="A1292" s="270" t="s">
        <v>1200</v>
      </c>
      <c r="B1292" s="1316" t="s">
        <v>438</v>
      </c>
      <c r="C1292" s="1316" t="s">
        <v>593</v>
      </c>
      <c r="D1292" s="1317" t="s">
        <v>432</v>
      </c>
      <c r="E1292" s="1318">
        <v>1</v>
      </c>
      <c r="F1292" s="1319" t="s">
        <v>442</v>
      </c>
      <c r="G1292" s="1315">
        <v>5052</v>
      </c>
      <c r="H1292" s="238">
        <f t="shared" ref="H1292:H1302" si="592">SUM(I1292:K1292)</f>
        <v>2.1244771656848835E-4</v>
      </c>
      <c r="I1292" s="1490">
        <f>IF(H990&gt;0,$AE$1193/(1000000/((H990/$U$891)*$U$1189)),0)</f>
        <v>2.1244771656848835E-4</v>
      </c>
      <c r="J1292" s="1483"/>
      <c r="K1292" s="1483"/>
      <c r="L1292" s="1318">
        <v>0.5</v>
      </c>
      <c r="M1292" s="233">
        <f t="shared" ref="M1292:M1302" si="593">SUM(N1292:P1292)-Q1292</f>
        <v>0.53664293205200153</v>
      </c>
      <c r="N1292" s="233">
        <f t="shared" si="585"/>
        <v>0.53664293205200153</v>
      </c>
      <c r="O1292" s="234">
        <f t="shared" si="586"/>
        <v>0</v>
      </c>
      <c r="P1292" s="234">
        <f t="shared" si="591"/>
        <v>0</v>
      </c>
      <c r="Q1292" s="1341">
        <v>0</v>
      </c>
    </row>
    <row r="1293" spans="1:17" hidden="1" outlineLevel="1">
      <c r="A1293" s="270" t="s">
        <v>1200</v>
      </c>
      <c r="B1293" s="1316" t="s">
        <v>438</v>
      </c>
      <c r="C1293" s="1316" t="s">
        <v>593</v>
      </c>
      <c r="D1293" s="1317" t="s">
        <v>432</v>
      </c>
      <c r="E1293" s="1318">
        <v>1</v>
      </c>
      <c r="F1293" s="1319" t="s">
        <v>443</v>
      </c>
      <c r="G1293" s="1315">
        <v>3737</v>
      </c>
      <c r="H1293" s="238">
        <f t="shared" si="592"/>
        <v>7.9662952548691379E-3</v>
      </c>
      <c r="I1293" s="1490">
        <f>IF(H991&gt;0,$AE$1194/(1000000/((H991/$U$892)*$U$1189)),0)</f>
        <v>7.9662952548691379E-3</v>
      </c>
      <c r="J1293" s="1483"/>
      <c r="K1293" s="1483"/>
      <c r="L1293" s="1318">
        <v>0.5</v>
      </c>
      <c r="M1293" s="233">
        <f t="shared" si="593"/>
        <v>14.885022683722983</v>
      </c>
      <c r="N1293" s="233">
        <f t="shared" si="585"/>
        <v>14.885022683722983</v>
      </c>
      <c r="O1293" s="234">
        <f t="shared" si="586"/>
        <v>0</v>
      </c>
      <c r="P1293" s="234">
        <f t="shared" si="591"/>
        <v>0</v>
      </c>
      <c r="Q1293" s="1341">
        <v>0</v>
      </c>
    </row>
    <row r="1294" spans="1:17" hidden="1" outlineLevel="1">
      <c r="A1294" s="270" t="s">
        <v>1200</v>
      </c>
      <c r="B1294" s="1316" t="s">
        <v>438</v>
      </c>
      <c r="C1294" s="1316" t="s">
        <v>593</v>
      </c>
      <c r="D1294" s="1317" t="s">
        <v>432</v>
      </c>
      <c r="E1294" s="1318">
        <v>1</v>
      </c>
      <c r="F1294" s="1319" t="s">
        <v>444</v>
      </c>
      <c r="G1294" s="1315">
        <v>15889</v>
      </c>
      <c r="H1294" s="238">
        <f t="shared" si="592"/>
        <v>1.130888216647877E-3</v>
      </c>
      <c r="I1294" s="1490">
        <f>IF(H992&gt;0,$AE$1195/(1000000/((H992/$U$893)*$U$1189)),0)</f>
        <v>1.130888216647877E-3</v>
      </c>
      <c r="J1294" s="1483"/>
      <c r="K1294" s="1483"/>
      <c r="L1294" s="1318">
        <v>0.5</v>
      </c>
      <c r="M1294" s="233">
        <f t="shared" si="593"/>
        <v>8.984341437159058</v>
      </c>
      <c r="N1294" s="233">
        <f t="shared" si="585"/>
        <v>8.984341437159058</v>
      </c>
      <c r="O1294" s="234">
        <f t="shared" si="586"/>
        <v>0</v>
      </c>
      <c r="P1294" s="234">
        <f t="shared" si="591"/>
        <v>0</v>
      </c>
      <c r="Q1294" s="1341">
        <v>0</v>
      </c>
    </row>
    <row r="1295" spans="1:17" hidden="1" outlineLevel="1">
      <c r="A1295" s="270" t="s">
        <v>1200</v>
      </c>
      <c r="B1295" s="1320" t="s">
        <v>438</v>
      </c>
      <c r="C1295" s="1320" t="s">
        <v>593</v>
      </c>
      <c r="D1295" s="1321" t="s">
        <v>432</v>
      </c>
      <c r="E1295" s="1322">
        <v>1</v>
      </c>
      <c r="F1295" s="1324" t="s">
        <v>445</v>
      </c>
      <c r="G1295" s="1323">
        <v>32171</v>
      </c>
      <c r="H1295" s="239">
        <f t="shared" si="592"/>
        <v>0</v>
      </c>
      <c r="I1295" s="1490">
        <f>IF(H993&gt;0,$AE$1196/(1000000/((H993/$U$894)*$U$1189)),0)</f>
        <v>0</v>
      </c>
      <c r="J1295" s="1482"/>
      <c r="K1295" s="1482"/>
      <c r="L1295" s="1322">
        <v>0.5</v>
      </c>
      <c r="M1295" s="227">
        <f t="shared" si="593"/>
        <v>0</v>
      </c>
      <c r="N1295" s="227">
        <f t="shared" si="585"/>
        <v>0</v>
      </c>
      <c r="O1295" s="228">
        <f t="shared" si="586"/>
        <v>0</v>
      </c>
      <c r="P1295" s="228">
        <f t="shared" si="591"/>
        <v>0</v>
      </c>
      <c r="Q1295" s="1342">
        <v>0</v>
      </c>
    </row>
    <row r="1296" spans="1:17" hidden="1" outlineLevel="1">
      <c r="A1296" s="270" t="s">
        <v>1200</v>
      </c>
      <c r="B1296" s="1316" t="s">
        <v>418</v>
      </c>
      <c r="C1296" s="1316" t="s">
        <v>439</v>
      </c>
      <c r="D1296" s="1317" t="s">
        <v>432</v>
      </c>
      <c r="E1296" s="1318">
        <v>1.5</v>
      </c>
      <c r="F1296" s="1319" t="s">
        <v>868</v>
      </c>
      <c r="G1296" s="1311">
        <v>1736</v>
      </c>
      <c r="H1296" s="238">
        <f t="shared" si="592"/>
        <v>1.1165232538202939E-2</v>
      </c>
      <c r="I1296" s="1489">
        <f>IF(H994&gt;0,$AE$1190/(1000000/((H994/$U$888)*$U$1189)),0)</f>
        <v>1.1165232538202939E-2</v>
      </c>
      <c r="J1296" s="1483"/>
      <c r="K1296" s="1483"/>
      <c r="L1296" s="1310">
        <v>0.5</v>
      </c>
      <c r="M1296" s="233">
        <f t="shared" si="593"/>
        <v>14.537132764740226</v>
      </c>
      <c r="N1296" s="233">
        <f t="shared" si="585"/>
        <v>14.537132764740226</v>
      </c>
      <c r="O1296" s="234">
        <f t="shared" si="586"/>
        <v>0</v>
      </c>
      <c r="P1296" s="234">
        <f t="shared" si="591"/>
        <v>0</v>
      </c>
      <c r="Q1296" s="1341">
        <v>0</v>
      </c>
    </row>
    <row r="1297" spans="1:18" hidden="1" outlineLevel="1">
      <c r="A1297" s="270" t="s">
        <v>1200</v>
      </c>
      <c r="B1297" s="1316" t="s">
        <v>418</v>
      </c>
      <c r="C1297" s="1316" t="s">
        <v>439</v>
      </c>
      <c r="D1297" s="1317" t="s">
        <v>432</v>
      </c>
      <c r="E1297" s="1318">
        <v>1.5</v>
      </c>
      <c r="F1297" s="1319" t="s">
        <v>441</v>
      </c>
      <c r="G1297" s="1315">
        <v>609.55999999999995</v>
      </c>
      <c r="H1297" s="238">
        <f t="shared" si="592"/>
        <v>1.9024764501708397E-2</v>
      </c>
      <c r="I1297" s="1490">
        <f>IF(H995&gt;0,$AE$1192/(1000000/((H995/$U$890)*$U$1189)),0)</f>
        <v>1.9024764501708397E-2</v>
      </c>
      <c r="J1297" s="1483"/>
      <c r="K1297" s="1483"/>
      <c r="L1297" s="1314">
        <v>0.5</v>
      </c>
      <c r="M1297" s="233">
        <f t="shared" si="593"/>
        <v>8.6975515872460267</v>
      </c>
      <c r="N1297" s="233">
        <f t="shared" si="585"/>
        <v>8.6975515872460267</v>
      </c>
      <c r="O1297" s="234">
        <f t="shared" si="586"/>
        <v>0</v>
      </c>
      <c r="P1297" s="234">
        <f t="shared" si="591"/>
        <v>0</v>
      </c>
      <c r="Q1297" s="1341">
        <v>0</v>
      </c>
    </row>
    <row r="1298" spans="1:18" hidden="1" outlineLevel="1">
      <c r="A1298" s="270" t="s">
        <v>1200</v>
      </c>
      <c r="B1298" s="1316" t="s">
        <v>418</v>
      </c>
      <c r="C1298" s="1316" t="s">
        <v>439</v>
      </c>
      <c r="D1298" s="1317" t="s">
        <v>432</v>
      </c>
      <c r="E1298" s="1318">
        <v>1.5</v>
      </c>
      <c r="F1298" s="1319" t="s">
        <v>442</v>
      </c>
      <c r="G1298" s="1315">
        <v>5052</v>
      </c>
      <c r="H1298" s="238">
        <f t="shared" si="592"/>
        <v>2.8955836924890268E-3</v>
      </c>
      <c r="I1298" s="1490">
        <f>IF(H996&gt;0,$AE$1193/(1000000/((H996/$U$891)*$U$1189)),0)</f>
        <v>2.8955836924890268E-3</v>
      </c>
      <c r="J1298" s="1483"/>
      <c r="K1298" s="1483"/>
      <c r="L1298" s="1318">
        <v>0.5</v>
      </c>
      <c r="M1298" s="233">
        <f t="shared" si="593"/>
        <v>10.971366610840922</v>
      </c>
      <c r="N1298" s="233">
        <f t="shared" si="585"/>
        <v>10.971366610840922</v>
      </c>
      <c r="O1298" s="234">
        <f t="shared" si="586"/>
        <v>0</v>
      </c>
      <c r="P1298" s="234">
        <f t="shared" si="591"/>
        <v>0</v>
      </c>
      <c r="Q1298" s="1341">
        <v>0</v>
      </c>
    </row>
    <row r="1299" spans="1:18" hidden="1" outlineLevel="1">
      <c r="A1299" s="270" t="s">
        <v>1200</v>
      </c>
      <c r="B1299" s="1316" t="s">
        <v>418</v>
      </c>
      <c r="C1299" s="1316" t="s">
        <v>439</v>
      </c>
      <c r="D1299" s="1317" t="s">
        <v>432</v>
      </c>
      <c r="E1299" s="1318">
        <v>1.5</v>
      </c>
      <c r="F1299" s="1319" t="s">
        <v>443</v>
      </c>
      <c r="G1299" s="1315">
        <v>3737</v>
      </c>
      <c r="H1299" s="238">
        <f t="shared" si="592"/>
        <v>2.3601579051746271E-2</v>
      </c>
      <c r="I1299" s="1490">
        <f>IF(H997&gt;0,$AE$1194/(1000000/((H997/$U$892)*$U$1189)),0)</f>
        <v>2.3601579051746271E-2</v>
      </c>
      <c r="J1299" s="1483"/>
      <c r="K1299" s="1483"/>
      <c r="L1299" s="1318">
        <v>0.5</v>
      </c>
      <c r="M1299" s="233">
        <f t="shared" si="593"/>
        <v>66.149325687281859</v>
      </c>
      <c r="N1299" s="233">
        <f t="shared" si="585"/>
        <v>66.149325687281859</v>
      </c>
      <c r="O1299" s="234">
        <f t="shared" si="586"/>
        <v>0</v>
      </c>
      <c r="P1299" s="234">
        <f t="shared" si="591"/>
        <v>0</v>
      </c>
      <c r="Q1299" s="1341">
        <v>0</v>
      </c>
    </row>
    <row r="1300" spans="1:18" hidden="1" outlineLevel="1">
      <c r="A1300" s="270" t="s">
        <v>1200</v>
      </c>
      <c r="B1300" s="1316" t="s">
        <v>418</v>
      </c>
      <c r="C1300" s="1316" t="s">
        <v>439</v>
      </c>
      <c r="D1300" s="1317" t="s">
        <v>432</v>
      </c>
      <c r="E1300" s="1318">
        <v>1.5</v>
      </c>
      <c r="F1300" s="1319" t="s">
        <v>444</v>
      </c>
      <c r="G1300" s="1315">
        <v>15889</v>
      </c>
      <c r="H1300" s="238">
        <f t="shared" si="592"/>
        <v>4.1839598698695272E-3</v>
      </c>
      <c r="I1300" s="1490">
        <f>IF(H998&gt;0,$AE$1195/(1000000/((H998/$U$893)*$U$1189)),0)</f>
        <v>4.1839598698695272E-3</v>
      </c>
      <c r="J1300" s="1483"/>
      <c r="K1300" s="1483"/>
      <c r="L1300" s="1318">
        <v>0.5</v>
      </c>
      <c r="M1300" s="233">
        <f t="shared" si="593"/>
        <v>49.859203779267688</v>
      </c>
      <c r="N1300" s="233">
        <f t="shared" si="585"/>
        <v>49.859203779267688</v>
      </c>
      <c r="O1300" s="234">
        <f t="shared" si="586"/>
        <v>0</v>
      </c>
      <c r="P1300" s="234">
        <f t="shared" si="591"/>
        <v>0</v>
      </c>
      <c r="Q1300" s="1341">
        <v>0</v>
      </c>
    </row>
    <row r="1301" spans="1:18" hidden="1" outlineLevel="1">
      <c r="A1301" s="270" t="s">
        <v>1200</v>
      </c>
      <c r="B1301" s="1320" t="s">
        <v>418</v>
      </c>
      <c r="C1301" s="1320" t="s">
        <v>439</v>
      </c>
      <c r="D1301" s="1321" t="s">
        <v>432</v>
      </c>
      <c r="E1301" s="1322">
        <v>1.5</v>
      </c>
      <c r="F1301" s="1324" t="s">
        <v>445</v>
      </c>
      <c r="G1301" s="1323">
        <v>32171</v>
      </c>
      <c r="H1301" s="239">
        <f t="shared" si="592"/>
        <v>0</v>
      </c>
      <c r="I1301" s="1490">
        <f>IF(H999&gt;0,$AE$1196/(1000000/((H999/$U$894)*$U$1189)),0)</f>
        <v>0</v>
      </c>
      <c r="J1301" s="1482"/>
      <c r="K1301" s="1482"/>
      <c r="L1301" s="1322">
        <v>0.5</v>
      </c>
      <c r="M1301" s="227">
        <f t="shared" si="593"/>
        <v>0</v>
      </c>
      <c r="N1301" s="227">
        <f t="shared" si="585"/>
        <v>0</v>
      </c>
      <c r="O1301" s="228">
        <f t="shared" si="586"/>
        <v>0</v>
      </c>
      <c r="P1301" s="228">
        <f t="shared" si="591"/>
        <v>0</v>
      </c>
      <c r="Q1301" s="1342">
        <v>0</v>
      </c>
    </row>
    <row r="1302" spans="1:18" hidden="1" outlineLevel="1">
      <c r="A1302" s="270" t="s">
        <v>1200</v>
      </c>
      <c r="B1302" s="1316" t="s">
        <v>411</v>
      </c>
      <c r="C1302" s="1316" t="s">
        <v>440</v>
      </c>
      <c r="D1302" s="1317" t="s">
        <v>432</v>
      </c>
      <c r="E1302" s="1318">
        <v>1.5</v>
      </c>
      <c r="F1302" s="1319" t="s">
        <v>868</v>
      </c>
      <c r="G1302" s="1311">
        <v>1736</v>
      </c>
      <c r="H1302" s="238">
        <f t="shared" si="592"/>
        <v>4.2767416690648992E-2</v>
      </c>
      <c r="I1302" s="1489">
        <f>IF(H1000&gt;0,$AE$1190/(1000000/((H1000/$U$888)*$U$1189)),0)</f>
        <v>4.2767416690648992E-2</v>
      </c>
      <c r="J1302" s="1483"/>
      <c r="K1302" s="1483"/>
      <c r="L1302" s="1318">
        <v>0.5</v>
      </c>
      <c r="M1302" s="233">
        <f t="shared" si="593"/>
        <v>55.683176531224987</v>
      </c>
      <c r="N1302" s="233">
        <f t="shared" si="585"/>
        <v>55.683176531224987</v>
      </c>
      <c r="O1302" s="234">
        <f t="shared" si="586"/>
        <v>0</v>
      </c>
      <c r="P1302" s="234">
        <f t="shared" si="591"/>
        <v>0</v>
      </c>
      <c r="Q1302" s="1341">
        <v>0</v>
      </c>
    </row>
    <row r="1303" spans="1:18" hidden="1" outlineLevel="1">
      <c r="A1303" s="270" t="s">
        <v>1200</v>
      </c>
      <c r="B1303" s="1316" t="s">
        <v>411</v>
      </c>
      <c r="C1303" s="1316" t="s">
        <v>440</v>
      </c>
      <c r="D1303" s="1317" t="s">
        <v>432</v>
      </c>
      <c r="E1303" s="1318">
        <v>1.5</v>
      </c>
      <c r="F1303" s="1317" t="s">
        <v>441</v>
      </c>
      <c r="G1303" s="1315">
        <v>609.55999999999995</v>
      </c>
      <c r="H1303" s="238">
        <f t="shared" ref="H1303" si="594">SUM(I1303:K1303)</f>
        <v>1.9050612664124784E-2</v>
      </c>
      <c r="I1303" s="1490">
        <f>IF(H1001&gt;0,$AE$1192/(1000000/((H1001/$U$890)*$U$1189)),0)</f>
        <v>1.9050612664124784E-2</v>
      </c>
      <c r="J1303" s="1483"/>
      <c r="K1303" s="1483"/>
      <c r="L1303" s="1318">
        <v>0.5</v>
      </c>
      <c r="M1303" s="233">
        <f t="shared" ref="M1303:M1311" si="595">SUM(N1303:P1303)-Q1303</f>
        <v>8.7093685916579275</v>
      </c>
      <c r="N1303" s="233">
        <f t="shared" si="585"/>
        <v>8.7093685916579275</v>
      </c>
      <c r="O1303" s="234">
        <f t="shared" si="586"/>
        <v>0</v>
      </c>
      <c r="P1303" s="234">
        <f t="shared" si="591"/>
        <v>0</v>
      </c>
      <c r="Q1303" s="1341">
        <v>0</v>
      </c>
    </row>
    <row r="1304" spans="1:18" hidden="1" outlineLevel="1">
      <c r="A1304" s="270" t="s">
        <v>1200</v>
      </c>
      <c r="B1304" s="1316" t="s">
        <v>411</v>
      </c>
      <c r="C1304" s="1316" t="s">
        <v>440</v>
      </c>
      <c r="D1304" s="1317" t="s">
        <v>432</v>
      </c>
      <c r="E1304" s="1318">
        <v>1.5</v>
      </c>
      <c r="F1304" s="1319" t="s">
        <v>442</v>
      </c>
      <c r="G1304" s="1315">
        <v>5052</v>
      </c>
      <c r="H1304" s="238">
        <f>SUM(I1304:K1304)</f>
        <v>0</v>
      </c>
      <c r="I1304" s="1490">
        <f>IF(H1002&gt;0,$AE$1193/(1000000/((H1002/$U$891)*$U$1189)),0)</f>
        <v>0</v>
      </c>
      <c r="J1304" s="1483"/>
      <c r="K1304" s="1483"/>
      <c r="L1304" s="1318">
        <v>0.5</v>
      </c>
      <c r="M1304" s="233">
        <f t="shared" si="595"/>
        <v>0</v>
      </c>
      <c r="N1304" s="233">
        <f t="shared" si="585"/>
        <v>0</v>
      </c>
      <c r="O1304" s="234">
        <f t="shared" si="586"/>
        <v>0</v>
      </c>
      <c r="P1304" s="234">
        <f t="shared" si="591"/>
        <v>0</v>
      </c>
      <c r="Q1304" s="1341">
        <v>0</v>
      </c>
    </row>
    <row r="1305" spans="1:18" hidden="1" outlineLevel="1">
      <c r="A1305" s="270" t="s">
        <v>1200</v>
      </c>
      <c r="B1305" s="1316" t="s">
        <v>411</v>
      </c>
      <c r="C1305" s="1316" t="s">
        <v>440</v>
      </c>
      <c r="D1305" s="1317" t="s">
        <v>432</v>
      </c>
      <c r="E1305" s="1318">
        <v>1.5</v>
      </c>
      <c r="F1305" s="1319" t="s">
        <v>443</v>
      </c>
      <c r="G1305" s="1315">
        <v>3737</v>
      </c>
      <c r="H1305" s="238">
        <f t="shared" ref="H1305:H1311" si="596">SUM(I1305:K1305)</f>
        <v>2.2399283773362737E-2</v>
      </c>
      <c r="I1305" s="1490">
        <f>IF(H1003&gt;0,$AE$1194/(1000000/((H1003/$U$892)*$U$1189)),0)</f>
        <v>2.2399283773362737E-2</v>
      </c>
      <c r="J1305" s="1483"/>
      <c r="K1305" s="1483"/>
      <c r="L1305" s="1318">
        <v>0.5</v>
      </c>
      <c r="M1305" s="233">
        <f t="shared" si="595"/>
        <v>62.779592595792415</v>
      </c>
      <c r="N1305" s="233">
        <f t="shared" si="585"/>
        <v>62.779592595792415</v>
      </c>
      <c r="O1305" s="234">
        <f t="shared" si="586"/>
        <v>0</v>
      </c>
      <c r="P1305" s="234">
        <f t="shared" si="591"/>
        <v>0</v>
      </c>
      <c r="Q1305" s="1341">
        <v>0</v>
      </c>
    </row>
    <row r="1306" spans="1:18" hidden="1" outlineLevel="1">
      <c r="A1306" s="270" t="s">
        <v>1200</v>
      </c>
      <c r="B1306" s="1320" t="s">
        <v>411</v>
      </c>
      <c r="C1306" s="1320" t="s">
        <v>440</v>
      </c>
      <c r="D1306" s="1321" t="s">
        <v>432</v>
      </c>
      <c r="E1306" s="1322">
        <v>1.5</v>
      </c>
      <c r="F1306" s="1324" t="s">
        <v>444</v>
      </c>
      <c r="G1306" s="1323">
        <v>15889</v>
      </c>
      <c r="H1306" s="239">
        <f t="shared" si="596"/>
        <v>2.7047711437632083E-3</v>
      </c>
      <c r="I1306" s="1490">
        <f>IF(H1004&gt;0,$AE$1195/(1000000/((H1004/$U$893)*$U$1189)),0)</f>
        <v>2.7047711437632083E-3</v>
      </c>
      <c r="J1306" s="1482"/>
      <c r="K1306" s="1482"/>
      <c r="L1306" s="1322">
        <v>0.5</v>
      </c>
      <c r="M1306" s="227">
        <f t="shared" si="595"/>
        <v>32.232081527440215</v>
      </c>
      <c r="N1306" s="227">
        <f t="shared" si="585"/>
        <v>32.232081527440215</v>
      </c>
      <c r="O1306" s="228">
        <f t="shared" si="586"/>
        <v>0</v>
      </c>
      <c r="P1306" s="228">
        <f t="shared" si="591"/>
        <v>0</v>
      </c>
      <c r="Q1306" s="1342">
        <v>0</v>
      </c>
    </row>
    <row r="1307" spans="1:18" hidden="1" outlineLevel="1">
      <c r="A1307" s="270" t="s">
        <v>1200</v>
      </c>
      <c r="B1307" s="1316" t="s">
        <v>409</v>
      </c>
      <c r="C1307" s="1316" t="s">
        <v>594</v>
      </c>
      <c r="D1307" s="1317" t="s">
        <v>432</v>
      </c>
      <c r="E1307" s="1318">
        <v>1</v>
      </c>
      <c r="F1307" s="1319" t="s">
        <v>868</v>
      </c>
      <c r="G1307" s="1311">
        <v>1736</v>
      </c>
      <c r="H1307" s="238">
        <f t="shared" si="596"/>
        <v>1.5287461248968038E-2</v>
      </c>
      <c r="I1307" s="1489">
        <f>IF(H1005&gt;0,$AE$1190/(1000000/((H1005/$U$888)*$U$1189)),0)</f>
        <v>1.5287461248968038E-2</v>
      </c>
      <c r="J1307" s="1483"/>
      <c r="K1307" s="1483"/>
      <c r="L1307" s="1318">
        <v>0.5</v>
      </c>
      <c r="M1307" s="233">
        <f t="shared" si="595"/>
        <v>13.269516364104257</v>
      </c>
      <c r="N1307" s="233">
        <f t="shared" si="585"/>
        <v>13.269516364104257</v>
      </c>
      <c r="O1307" s="234">
        <f t="shared" si="586"/>
        <v>0</v>
      </c>
      <c r="P1307" s="234">
        <f t="shared" si="591"/>
        <v>0</v>
      </c>
      <c r="Q1307" s="1341">
        <v>0</v>
      </c>
    </row>
    <row r="1308" spans="1:18" hidden="1" outlineLevel="1">
      <c r="A1308" s="270" t="s">
        <v>1200</v>
      </c>
      <c r="B1308" s="1316" t="s">
        <v>409</v>
      </c>
      <c r="C1308" s="1316" t="s">
        <v>594</v>
      </c>
      <c r="D1308" s="1317" t="s">
        <v>432</v>
      </c>
      <c r="E1308" s="1318">
        <v>1</v>
      </c>
      <c r="F1308" s="1317" t="s">
        <v>441</v>
      </c>
      <c r="G1308" s="1315">
        <v>609.55999999999995</v>
      </c>
      <c r="H1308" s="238">
        <f t="shared" si="596"/>
        <v>1.2208604072507416E-2</v>
      </c>
      <c r="I1308" s="1490">
        <f>IF(H1006&gt;0,$AE$1192/(1000000/((H1006/$U$890)*$U$1189)),0)</f>
        <v>1.2208604072507416E-2</v>
      </c>
      <c r="J1308" s="1483"/>
      <c r="K1308" s="1483"/>
      <c r="L1308" s="1318">
        <v>0.5</v>
      </c>
      <c r="M1308" s="233">
        <f t="shared" si="595"/>
        <v>3.7209383492188102</v>
      </c>
      <c r="N1308" s="233">
        <f t="shared" si="585"/>
        <v>3.7209383492188102</v>
      </c>
      <c r="O1308" s="234">
        <f t="shared" si="586"/>
        <v>0</v>
      </c>
      <c r="P1308" s="234">
        <f t="shared" si="591"/>
        <v>0</v>
      </c>
      <c r="Q1308" s="1341">
        <v>0</v>
      </c>
    </row>
    <row r="1309" spans="1:18" hidden="1" outlineLevel="1">
      <c r="A1309" s="270" t="s">
        <v>1200</v>
      </c>
      <c r="B1309" s="1316" t="s">
        <v>409</v>
      </c>
      <c r="C1309" s="1316" t="s">
        <v>594</v>
      </c>
      <c r="D1309" s="1317" t="s">
        <v>432</v>
      </c>
      <c r="E1309" s="1318">
        <v>1</v>
      </c>
      <c r="F1309" s="1319" t="s">
        <v>442</v>
      </c>
      <c r="G1309" s="1315">
        <v>5052</v>
      </c>
      <c r="H1309" s="238">
        <f t="shared" si="596"/>
        <v>0</v>
      </c>
      <c r="I1309" s="1490">
        <f>IF(H1007&gt;0,$AE$1193/(1000000/((H1007/$U$891)*$U$1189)),0)</f>
        <v>0</v>
      </c>
      <c r="J1309" s="1483"/>
      <c r="K1309" s="1483"/>
      <c r="L1309" s="1318">
        <v>0.5</v>
      </c>
      <c r="M1309" s="233">
        <f t="shared" si="595"/>
        <v>0</v>
      </c>
      <c r="N1309" s="233">
        <f t="shared" si="585"/>
        <v>0</v>
      </c>
      <c r="O1309" s="234">
        <f t="shared" si="586"/>
        <v>0</v>
      </c>
      <c r="P1309" s="234">
        <f t="shared" si="591"/>
        <v>0</v>
      </c>
      <c r="Q1309" s="1341">
        <v>0</v>
      </c>
    </row>
    <row r="1310" spans="1:18" hidden="1" outlineLevel="1">
      <c r="A1310" s="270" t="s">
        <v>1200</v>
      </c>
      <c r="B1310" s="1316" t="s">
        <v>409</v>
      </c>
      <c r="C1310" s="1316" t="s">
        <v>594</v>
      </c>
      <c r="D1310" s="1317" t="s">
        <v>432</v>
      </c>
      <c r="E1310" s="1318">
        <v>1</v>
      </c>
      <c r="F1310" s="1319" t="s">
        <v>443</v>
      </c>
      <c r="G1310" s="1315">
        <v>3737</v>
      </c>
      <c r="H1310" s="238">
        <f t="shared" si="596"/>
        <v>3.4559455040057037E-2</v>
      </c>
      <c r="I1310" s="1490">
        <f>IF(H1008&gt;0,$AE$1194/(1000000/((H1008/$U$892)*$U$1189)),0)</f>
        <v>3.4559455040057037E-2</v>
      </c>
      <c r="J1310" s="1483"/>
      <c r="K1310" s="1483"/>
      <c r="L1310" s="1318">
        <v>0.5</v>
      </c>
      <c r="M1310" s="235">
        <f t="shared" si="595"/>
        <v>64.574341742346576</v>
      </c>
      <c r="N1310" s="233">
        <f t="shared" si="585"/>
        <v>64.574341742346576</v>
      </c>
      <c r="O1310" s="234">
        <f t="shared" si="586"/>
        <v>0</v>
      </c>
      <c r="P1310" s="234">
        <f t="shared" si="591"/>
        <v>0</v>
      </c>
      <c r="Q1310" s="1341">
        <v>0</v>
      </c>
    </row>
    <row r="1311" spans="1:18" hidden="1" outlineLevel="1">
      <c r="A1311" s="191" t="s">
        <v>1200</v>
      </c>
      <c r="B1311" s="1320" t="s">
        <v>409</v>
      </c>
      <c r="C1311" s="1320" t="s">
        <v>594</v>
      </c>
      <c r="D1311" s="1321" t="s">
        <v>432</v>
      </c>
      <c r="E1311" s="1322">
        <v>1</v>
      </c>
      <c r="F1311" s="1324" t="s">
        <v>444</v>
      </c>
      <c r="G1311" s="1323">
        <v>15889</v>
      </c>
      <c r="H1311" s="239">
        <f t="shared" si="596"/>
        <v>3.6147062247233871E-3</v>
      </c>
      <c r="I1311" s="1490">
        <f>IF(H1009&gt;0,$AE$1195/(1000000/((H1009/$U$893)*$U$1189)),0)</f>
        <v>3.6147062247233871E-3</v>
      </c>
      <c r="J1311" s="1482"/>
      <c r="K1311" s="1482"/>
      <c r="L1311" s="1322">
        <v>0.5</v>
      </c>
      <c r="M1311" s="267">
        <f t="shared" si="595"/>
        <v>28.717033602314949</v>
      </c>
      <c r="N1311" s="227">
        <f t="shared" si="585"/>
        <v>28.717033602314949</v>
      </c>
      <c r="O1311" s="228">
        <f t="shared" si="586"/>
        <v>0</v>
      </c>
      <c r="P1311" s="228">
        <f t="shared" si="591"/>
        <v>0</v>
      </c>
      <c r="Q1311" s="1342">
        <v>0</v>
      </c>
      <c r="R1311" s="512">
        <f>SUM(M1272:M1311)</f>
        <v>1305.4150792184691</v>
      </c>
    </row>
    <row r="1312" spans="1:18" hidden="1" outlineLevel="1">
      <c r="A1312" s="270" t="s">
        <v>1200</v>
      </c>
      <c r="B1312" s="1308" t="s">
        <v>434</v>
      </c>
      <c r="C1312" s="1308" t="s">
        <v>435</v>
      </c>
      <c r="D1312" s="1309" t="s">
        <v>433</v>
      </c>
      <c r="E1312" s="1310">
        <v>1</v>
      </c>
      <c r="F1312" s="1309" t="s">
        <v>868</v>
      </c>
      <c r="G1312" s="1311">
        <v>1736</v>
      </c>
      <c r="H1312" s="778">
        <f>SUM(I1312:K1312)</f>
        <v>9.5965635039099675E-2</v>
      </c>
      <c r="I1312" s="1489">
        <f>IF(H1010&gt;0,$AE$1190/(1000000/((H1010/$U$888)*$U$1189)),0)</f>
        <v>9.5965635039099675E-2</v>
      </c>
      <c r="J1312" s="1489"/>
      <c r="K1312" s="1489"/>
      <c r="L1312" s="1310">
        <v>0.5</v>
      </c>
      <c r="M1312" s="772">
        <f>SUM(N1312:P1312)-Q1312</f>
        <v>83.298171213938517</v>
      </c>
      <c r="N1312" s="772">
        <f t="shared" si="585"/>
        <v>83.298171213938517</v>
      </c>
      <c r="O1312" s="773">
        <f t="shared" si="586"/>
        <v>0</v>
      </c>
      <c r="P1312" s="773">
        <f>E1312*G1312*K1312*L1312*15</f>
        <v>0</v>
      </c>
      <c r="Q1312" s="1339">
        <v>0</v>
      </c>
      <c r="R1312" s="774"/>
    </row>
    <row r="1313" spans="1:17" hidden="1" outlineLevel="1">
      <c r="A1313" s="270" t="s">
        <v>1200</v>
      </c>
      <c r="B1313" s="1312" t="s">
        <v>434</v>
      </c>
      <c r="C1313" s="1312" t="s">
        <v>435</v>
      </c>
      <c r="D1313" s="1313" t="s">
        <v>433</v>
      </c>
      <c r="E1313" s="1314">
        <v>1</v>
      </c>
      <c r="F1313" s="1319" t="s">
        <v>441</v>
      </c>
      <c r="G1313" s="1315">
        <v>609.55999999999995</v>
      </c>
      <c r="H1313" s="237">
        <f t="shared" ref="H1313:H1314" si="597">SUM(I1313:K1313)</f>
        <v>7.2447229620646564E-2</v>
      </c>
      <c r="I1313" s="1490">
        <f>IF(H1011&gt;0,$AE$1192/(1000000/((H1011/$U$890)*$U$1189)),0)</f>
        <v>7.2447229620646564E-2</v>
      </c>
      <c r="J1313" s="1490"/>
      <c r="K1313" s="1490"/>
      <c r="L1313" s="1314">
        <v>0.5</v>
      </c>
      <c r="M1313" s="223">
        <f t="shared" ref="M1313:M1314" si="598">SUM(N1313:P1313)-Q1313</f>
        <v>22.080466643780657</v>
      </c>
      <c r="N1313" s="223">
        <f t="shared" si="585"/>
        <v>22.080466643780657</v>
      </c>
      <c r="O1313" s="224">
        <f t="shared" si="586"/>
        <v>0</v>
      </c>
      <c r="P1313" s="224">
        <f t="shared" ref="P1313:P1314" si="599">E1313*G1313*K1313*L1313*15</f>
        <v>0</v>
      </c>
      <c r="Q1313" s="1340">
        <v>0</v>
      </c>
    </row>
    <row r="1314" spans="1:17" hidden="1" outlineLevel="1">
      <c r="A1314" s="270" t="s">
        <v>1200</v>
      </c>
      <c r="B1314" s="1316" t="s">
        <v>434</v>
      </c>
      <c r="C1314" s="1316" t="s">
        <v>435</v>
      </c>
      <c r="D1314" s="1313" t="s">
        <v>433</v>
      </c>
      <c r="E1314" s="1318">
        <v>1</v>
      </c>
      <c r="F1314" s="1319" t="s">
        <v>442</v>
      </c>
      <c r="G1314" s="1315">
        <v>5052</v>
      </c>
      <c r="H1314" s="238">
        <f t="shared" si="597"/>
        <v>0</v>
      </c>
      <c r="I1314" s="1490">
        <f>IF(H1012&gt;0,$AE$1193/(1000000/((H1012/$U$891)*$U$1189)),0)</f>
        <v>0</v>
      </c>
      <c r="J1314" s="1483"/>
      <c r="K1314" s="1483"/>
      <c r="L1314" s="1318">
        <v>0.5</v>
      </c>
      <c r="M1314" s="233">
        <f t="shared" si="598"/>
        <v>0</v>
      </c>
      <c r="N1314" s="233">
        <f t="shared" si="585"/>
        <v>0</v>
      </c>
      <c r="O1314" s="234">
        <f t="shared" si="586"/>
        <v>0</v>
      </c>
      <c r="P1314" s="234">
        <f t="shared" si="599"/>
        <v>0</v>
      </c>
      <c r="Q1314" s="1341">
        <v>0</v>
      </c>
    </row>
    <row r="1315" spans="1:17" hidden="1" outlineLevel="1">
      <c r="A1315" s="270" t="s">
        <v>1200</v>
      </c>
      <c r="B1315" s="1316" t="s">
        <v>434</v>
      </c>
      <c r="C1315" s="1316" t="s">
        <v>435</v>
      </c>
      <c r="D1315" s="1317" t="s">
        <v>433</v>
      </c>
      <c r="E1315" s="1318">
        <v>1</v>
      </c>
      <c r="F1315" s="1319" t="s">
        <v>443</v>
      </c>
      <c r="G1315" s="1315">
        <v>3737</v>
      </c>
      <c r="H1315" s="238">
        <f>SUM(I1315:K1315)</f>
        <v>0.21505185563622817</v>
      </c>
      <c r="I1315" s="1490">
        <f>IF(H1013&gt;0,$AE$1194/(1000000/((H1013/$U$892)*$U$1189)),0)</f>
        <v>0.21505185563622817</v>
      </c>
      <c r="J1315" s="1483"/>
      <c r="K1315" s="1483"/>
      <c r="L1315" s="1318">
        <v>0.5</v>
      </c>
      <c r="M1315" s="233">
        <f>SUM(N1315:P1315)-Q1315</f>
        <v>401.82439225629236</v>
      </c>
      <c r="N1315" s="233">
        <f t="shared" si="585"/>
        <v>401.82439225629236</v>
      </c>
      <c r="O1315" s="234">
        <f t="shared" si="586"/>
        <v>0</v>
      </c>
      <c r="P1315" s="234">
        <f>E1315*G1315*K1315*L1315*15</f>
        <v>0</v>
      </c>
      <c r="Q1315" s="1341">
        <v>0</v>
      </c>
    </row>
    <row r="1316" spans="1:17" hidden="1" outlineLevel="1">
      <c r="A1316" s="270" t="s">
        <v>1200</v>
      </c>
      <c r="B1316" s="1316" t="s">
        <v>434</v>
      </c>
      <c r="C1316" s="1316" t="s">
        <v>435</v>
      </c>
      <c r="D1316" s="1317" t="s">
        <v>433</v>
      </c>
      <c r="E1316" s="1318">
        <v>1</v>
      </c>
      <c r="F1316" s="1317" t="s">
        <v>444</v>
      </c>
      <c r="G1316" s="1315">
        <v>15889</v>
      </c>
      <c r="H1316" s="238">
        <f>SUM(I1316:K1316)</f>
        <v>2.5653420960706268E-2</v>
      </c>
      <c r="I1316" s="1490">
        <f>IF(H1014&gt;0,$AE$1195/(1000000/((H1014/$U$893)*$U$1189)),0)</f>
        <v>2.5653420960706268E-2</v>
      </c>
      <c r="J1316" s="1483"/>
      <c r="K1316" s="1483"/>
      <c r="L1316" s="1318">
        <v>0.5</v>
      </c>
      <c r="M1316" s="233">
        <f>SUM(N1316:P1316)-Q1316</f>
        <v>203.80360282233093</v>
      </c>
      <c r="N1316" s="233">
        <f t="shared" si="585"/>
        <v>203.80360282233093</v>
      </c>
      <c r="O1316" s="234">
        <f t="shared" si="586"/>
        <v>0</v>
      </c>
      <c r="P1316" s="234">
        <f>E1316*G1316*K1316*L1316*15</f>
        <v>0</v>
      </c>
      <c r="Q1316" s="1341">
        <v>0</v>
      </c>
    </row>
    <row r="1317" spans="1:17" hidden="1" outlineLevel="1">
      <c r="A1317" s="270" t="s">
        <v>1200</v>
      </c>
      <c r="B1317" s="1320" t="s">
        <v>434</v>
      </c>
      <c r="C1317" s="1320" t="s">
        <v>435</v>
      </c>
      <c r="D1317" s="1321" t="s">
        <v>433</v>
      </c>
      <c r="E1317" s="1322">
        <v>1</v>
      </c>
      <c r="F1317" s="1324" t="s">
        <v>445</v>
      </c>
      <c r="G1317" s="1323">
        <v>32171</v>
      </c>
      <c r="H1317" s="239">
        <f t="shared" ref="H1317:H1324" si="600">SUM(I1317:K1317)</f>
        <v>3.8344213740558046E-4</v>
      </c>
      <c r="I1317" s="1482">
        <f>IF(H1015&gt;0,$AE$1196/(1000000/((H1015/$U$894)*$U$1189)),0)</f>
        <v>3.8344213740558046E-4</v>
      </c>
      <c r="J1317" s="1482"/>
      <c r="K1317" s="1482"/>
      <c r="L1317" s="1322">
        <v>0.5</v>
      </c>
      <c r="M1317" s="227">
        <f t="shared" ref="M1317" si="601">SUM(N1317:P1317)-Q1317</f>
        <v>6.1678585012374647</v>
      </c>
      <c r="N1317" s="227">
        <f t="shared" si="585"/>
        <v>6.1678585012374647</v>
      </c>
      <c r="O1317" s="228">
        <f t="shared" si="586"/>
        <v>0</v>
      </c>
      <c r="P1317" s="228">
        <f t="shared" ref="P1317" si="602">E1317*G1317*K1317*L1317*15</f>
        <v>0</v>
      </c>
      <c r="Q1317" s="1342">
        <v>0</v>
      </c>
    </row>
    <row r="1318" spans="1:17" hidden="1" outlineLevel="1">
      <c r="A1318" s="270" t="s">
        <v>1200</v>
      </c>
      <c r="B1318" s="1320" t="s">
        <v>869</v>
      </c>
      <c r="C1318" s="1320" t="s">
        <v>870</v>
      </c>
      <c r="D1318" s="1321" t="s">
        <v>433</v>
      </c>
      <c r="E1318" s="1322">
        <v>1</v>
      </c>
      <c r="F1318" s="1324" t="s">
        <v>442</v>
      </c>
      <c r="G1318" s="1323">
        <v>5052</v>
      </c>
      <c r="H1318" s="239">
        <f t="shared" si="600"/>
        <v>0</v>
      </c>
      <c r="I1318" s="1482">
        <f>IF(H1016&gt;0,$AE$1193/(1000000/((H1016/$U$891)*$U$1189)),0)</f>
        <v>0</v>
      </c>
      <c r="J1318" s="1482"/>
      <c r="K1318" s="1482"/>
      <c r="L1318" s="1322">
        <v>0.5</v>
      </c>
      <c r="M1318" s="520">
        <f t="shared" ref="M1318:M1329" si="603">SUM(N1318:P1318)-Q1318</f>
        <v>0</v>
      </c>
      <c r="N1318" s="521">
        <v>0</v>
      </c>
      <c r="O1318" s="522">
        <f t="shared" ref="O1318:O1321" si="604">E1318*G1318*J1318</f>
        <v>0</v>
      </c>
      <c r="P1318" s="522"/>
      <c r="Q1318" s="1342">
        <v>0</v>
      </c>
    </row>
    <row r="1319" spans="1:17" hidden="1" outlineLevel="1">
      <c r="A1319" s="270" t="s">
        <v>1200</v>
      </c>
      <c r="B1319" s="1320" t="s">
        <v>1301</v>
      </c>
      <c r="C1319" s="1320" t="s">
        <v>867</v>
      </c>
      <c r="D1319" s="1321" t="s">
        <v>433</v>
      </c>
      <c r="E1319" s="1322">
        <v>1.5</v>
      </c>
      <c r="F1319" s="1324" t="s">
        <v>441</v>
      </c>
      <c r="G1319" s="1323">
        <v>609.55999999999995</v>
      </c>
      <c r="H1319" s="239">
        <f t="shared" si="600"/>
        <v>0</v>
      </c>
      <c r="I1319" s="1482">
        <f>IF(H1017&gt;0,$AE$1192/(1000000/((H1017/$U$890)*$U$1189)),0)</f>
        <v>0</v>
      </c>
      <c r="J1319" s="1482"/>
      <c r="K1319" s="1482"/>
      <c r="L1319" s="1322">
        <v>0.5</v>
      </c>
      <c r="M1319" s="520">
        <f t="shared" si="603"/>
        <v>0</v>
      </c>
      <c r="N1319" s="521">
        <v>0</v>
      </c>
      <c r="O1319" s="522">
        <f t="shared" si="604"/>
        <v>0</v>
      </c>
      <c r="P1319" s="522"/>
      <c r="Q1319" s="1342">
        <v>0</v>
      </c>
    </row>
    <row r="1320" spans="1:17" hidden="1" outlineLevel="1">
      <c r="A1320" s="270" t="s">
        <v>1200</v>
      </c>
      <c r="B1320" s="1325" t="s">
        <v>620</v>
      </c>
      <c r="C1320" s="1325" t="s">
        <v>621</v>
      </c>
      <c r="D1320" s="1321" t="s">
        <v>1260</v>
      </c>
      <c r="E1320" s="1327">
        <v>1</v>
      </c>
      <c r="F1320" s="1324" t="s">
        <v>441</v>
      </c>
      <c r="G1320" s="1323">
        <v>580.53</v>
      </c>
      <c r="H1320" s="239">
        <f t="shared" ref="H1320:H1321" si="605">SUM(I1320:K1320)</f>
        <v>1.2919945502206362E-2</v>
      </c>
      <c r="I1320" s="1482">
        <f>IF(H1018&gt;0,$AE$1192/(1000000/((H1018/$U$890)*$U$1189)),0)</f>
        <v>1.2919945502206362E-2</v>
      </c>
      <c r="J1320" s="1338"/>
      <c r="K1320" s="1338"/>
      <c r="L1320" s="1322">
        <v>0.5</v>
      </c>
      <c r="M1320" s="520">
        <f t="shared" si="603"/>
        <v>0</v>
      </c>
      <c r="N1320" s="521">
        <v>0</v>
      </c>
      <c r="O1320" s="522">
        <f t="shared" si="604"/>
        <v>0</v>
      </c>
      <c r="P1320" s="522"/>
      <c r="Q1320" s="1342">
        <v>0</v>
      </c>
    </row>
    <row r="1321" spans="1:17" hidden="1" outlineLevel="1">
      <c r="A1321" s="270" t="s">
        <v>1200</v>
      </c>
      <c r="B1321" s="1325" t="s">
        <v>622</v>
      </c>
      <c r="C1321" s="1325" t="s">
        <v>619</v>
      </c>
      <c r="D1321" s="1321" t="s">
        <v>1260</v>
      </c>
      <c r="E1321" s="1327">
        <v>1</v>
      </c>
      <c r="F1321" s="1324" t="s">
        <v>441</v>
      </c>
      <c r="G1321" s="1323">
        <v>580.53</v>
      </c>
      <c r="H1321" s="239">
        <f t="shared" si="605"/>
        <v>0.45104112882746522</v>
      </c>
      <c r="I1321" s="1490">
        <f>IF(H1019&gt;0,$AE$1192/(1000000/((H1019/$U$890)*$U$1189)),0)</f>
        <v>0.45104112882746522</v>
      </c>
      <c r="J1321" s="1338"/>
      <c r="K1321" s="1338"/>
      <c r="L1321" s="1322">
        <v>0.5</v>
      </c>
      <c r="M1321" s="520">
        <f t="shared" si="603"/>
        <v>0</v>
      </c>
      <c r="N1321" s="521">
        <v>0</v>
      </c>
      <c r="O1321" s="522">
        <f t="shared" si="604"/>
        <v>0</v>
      </c>
      <c r="P1321" s="522"/>
      <c r="Q1321" s="1342">
        <v>0</v>
      </c>
    </row>
    <row r="1322" spans="1:17" hidden="1" outlineLevel="1">
      <c r="A1322" s="270" t="s">
        <v>1200</v>
      </c>
      <c r="B1322" s="1316" t="s">
        <v>436</v>
      </c>
      <c r="C1322" s="1316" t="s">
        <v>591</v>
      </c>
      <c r="D1322" s="1317" t="s">
        <v>433</v>
      </c>
      <c r="E1322" s="1318">
        <v>1</v>
      </c>
      <c r="F1322" s="1317" t="s">
        <v>868</v>
      </c>
      <c r="G1322" s="1311">
        <v>1736</v>
      </c>
      <c r="H1322" s="238">
        <f t="shared" si="600"/>
        <v>0</v>
      </c>
      <c r="I1322" s="1489">
        <f>IF(H1020&gt;0,$AE$1190/(1000000/((H1020/$U$888)*$U$1189)),0)</f>
        <v>0</v>
      </c>
      <c r="J1322" s="1483"/>
      <c r="K1322" s="1483"/>
      <c r="L1322" s="1318">
        <v>0.5</v>
      </c>
      <c r="M1322" s="233">
        <f t="shared" si="603"/>
        <v>0</v>
      </c>
      <c r="N1322" s="233">
        <f t="shared" ref="N1322:N1351" si="606">E1322*G1322*I1322*L1322</f>
        <v>0</v>
      </c>
      <c r="O1322" s="234">
        <f t="shared" ref="O1322:O1351" si="607">E1322*G1322*J1322*L1322*10</f>
        <v>0</v>
      </c>
      <c r="P1322" s="234">
        <f t="shared" ref="P1322:P1329" si="608">E1322*G1322*K1322*L1322*15</f>
        <v>0</v>
      </c>
      <c r="Q1322" s="1341">
        <v>0</v>
      </c>
    </row>
    <row r="1323" spans="1:17" hidden="1" outlineLevel="1">
      <c r="A1323" s="270" t="s">
        <v>1200</v>
      </c>
      <c r="B1323" s="1316" t="s">
        <v>436</v>
      </c>
      <c r="C1323" s="1316" t="s">
        <v>591</v>
      </c>
      <c r="D1323" s="1317" t="s">
        <v>433</v>
      </c>
      <c r="E1323" s="1318">
        <v>1</v>
      </c>
      <c r="F1323" s="1319" t="s">
        <v>441</v>
      </c>
      <c r="G1323" s="1315">
        <v>609.55999999999995</v>
      </c>
      <c r="H1323" s="238">
        <f t="shared" si="600"/>
        <v>0</v>
      </c>
      <c r="I1323" s="1490">
        <f>IF(H1021&gt;0,$AE$1192/(1000000/((H1021/$U$890)*$U$1189)),0)</f>
        <v>0</v>
      </c>
      <c r="J1323" s="1483"/>
      <c r="K1323" s="1483"/>
      <c r="L1323" s="1318">
        <v>0.5</v>
      </c>
      <c r="M1323" s="233">
        <f t="shared" si="603"/>
        <v>0</v>
      </c>
      <c r="N1323" s="233">
        <f t="shared" si="606"/>
        <v>0</v>
      </c>
      <c r="O1323" s="234">
        <f t="shared" si="607"/>
        <v>0</v>
      </c>
      <c r="P1323" s="234">
        <f t="shared" si="608"/>
        <v>0</v>
      </c>
      <c r="Q1323" s="1341">
        <v>0</v>
      </c>
    </row>
    <row r="1324" spans="1:17" hidden="1" outlineLevel="1">
      <c r="A1324" s="270" t="s">
        <v>1200</v>
      </c>
      <c r="B1324" s="1316" t="s">
        <v>436</v>
      </c>
      <c r="C1324" s="1316" t="s">
        <v>591</v>
      </c>
      <c r="D1324" s="1317" t="s">
        <v>433</v>
      </c>
      <c r="E1324" s="1318">
        <v>1</v>
      </c>
      <c r="F1324" s="1319" t="s">
        <v>443</v>
      </c>
      <c r="G1324" s="1315">
        <v>3737</v>
      </c>
      <c r="H1324" s="238">
        <f t="shared" si="600"/>
        <v>0</v>
      </c>
      <c r="I1324" s="1490">
        <f>IF(H1022&gt;0,$AE$1194/(1000000/((H1022/$U$892)*$U$1189)),0)</f>
        <v>0</v>
      </c>
      <c r="J1324" s="1483"/>
      <c r="K1324" s="1483"/>
      <c r="L1324" s="1318">
        <v>0.5</v>
      </c>
      <c r="M1324" s="233">
        <f t="shared" si="603"/>
        <v>0</v>
      </c>
      <c r="N1324" s="233">
        <f t="shared" si="606"/>
        <v>0</v>
      </c>
      <c r="O1324" s="234">
        <f t="shared" si="607"/>
        <v>0</v>
      </c>
      <c r="P1324" s="234">
        <f t="shared" si="608"/>
        <v>0</v>
      </c>
      <c r="Q1324" s="1341">
        <v>0</v>
      </c>
    </row>
    <row r="1325" spans="1:17" hidden="1" outlineLevel="1">
      <c r="A1325" s="270" t="s">
        <v>1200</v>
      </c>
      <c r="B1325" s="1320" t="s">
        <v>436</v>
      </c>
      <c r="C1325" s="1320" t="s">
        <v>591</v>
      </c>
      <c r="D1325" s="1321" t="s">
        <v>433</v>
      </c>
      <c r="E1325" s="1322">
        <v>1</v>
      </c>
      <c r="F1325" s="1324" t="s">
        <v>444</v>
      </c>
      <c r="G1325" s="1323">
        <v>15889</v>
      </c>
      <c r="H1325" s="239">
        <f t="shared" ref="H1325:H1329" si="609">SUM(I1325:K1325)</f>
        <v>0</v>
      </c>
      <c r="I1325" s="1490">
        <f>IF(H1023&gt;0,$AE$1195/(1000000/((H1023/$U$893)*$U$1189)),0)</f>
        <v>0</v>
      </c>
      <c r="J1325" s="1482"/>
      <c r="K1325" s="1482"/>
      <c r="L1325" s="1322">
        <v>0.5</v>
      </c>
      <c r="M1325" s="227">
        <f t="shared" si="603"/>
        <v>0</v>
      </c>
      <c r="N1325" s="227">
        <f t="shared" si="606"/>
        <v>0</v>
      </c>
      <c r="O1325" s="228">
        <f t="shared" si="607"/>
        <v>0</v>
      </c>
      <c r="P1325" s="228">
        <f t="shared" si="608"/>
        <v>0</v>
      </c>
      <c r="Q1325" s="1342">
        <v>0</v>
      </c>
    </row>
    <row r="1326" spans="1:17" hidden="1" outlineLevel="1">
      <c r="A1326" s="270" t="s">
        <v>1200</v>
      </c>
      <c r="B1326" s="1316" t="s">
        <v>437</v>
      </c>
      <c r="C1326" s="1316" t="s">
        <v>592</v>
      </c>
      <c r="D1326" s="1317" t="s">
        <v>433</v>
      </c>
      <c r="E1326" s="1318">
        <v>1</v>
      </c>
      <c r="F1326" s="1317" t="s">
        <v>868</v>
      </c>
      <c r="G1326" s="1311">
        <v>1736</v>
      </c>
      <c r="H1326" s="238">
        <f t="shared" si="609"/>
        <v>1.1298936621558044E-3</v>
      </c>
      <c r="I1326" s="1489">
        <f>IF(H1024&gt;0,$AE$1190/(1000000/((H1024/$U$888)*$U$1189)),0)</f>
        <v>1.1298936621558044E-3</v>
      </c>
      <c r="J1326" s="1483"/>
      <c r="K1326" s="1483"/>
      <c r="L1326" s="1318">
        <v>0.5</v>
      </c>
      <c r="M1326" s="233">
        <f t="shared" si="603"/>
        <v>0.98074769875123824</v>
      </c>
      <c r="N1326" s="233">
        <f t="shared" si="606"/>
        <v>0.98074769875123824</v>
      </c>
      <c r="O1326" s="234">
        <f t="shared" si="607"/>
        <v>0</v>
      </c>
      <c r="P1326" s="234">
        <f t="shared" si="608"/>
        <v>0</v>
      </c>
      <c r="Q1326" s="1341">
        <v>0</v>
      </c>
    </row>
    <row r="1327" spans="1:17" hidden="1" outlineLevel="1">
      <c r="A1327" s="270" t="s">
        <v>1200</v>
      </c>
      <c r="B1327" s="1316" t="s">
        <v>437</v>
      </c>
      <c r="C1327" s="1316" t="s">
        <v>592</v>
      </c>
      <c r="D1327" s="1317" t="s">
        <v>433</v>
      </c>
      <c r="E1327" s="1318">
        <v>1</v>
      </c>
      <c r="F1327" s="1319" t="s">
        <v>441</v>
      </c>
      <c r="G1327" s="1315">
        <v>609.55999999999995</v>
      </c>
      <c r="H1327" s="238">
        <f t="shared" si="609"/>
        <v>4.2649467987036836E-4</v>
      </c>
      <c r="I1327" s="1490">
        <f>IF(H1025&gt;0,$AE$1192/(1000000/((H1025/$U$890)*$U$1189)),0)</f>
        <v>4.2649467987036836E-4</v>
      </c>
      <c r="J1327" s="1483"/>
      <c r="K1327" s="1483"/>
      <c r="L1327" s="1318">
        <v>0.5</v>
      </c>
      <c r="M1327" s="233">
        <f t="shared" si="603"/>
        <v>0.12998704853089085</v>
      </c>
      <c r="N1327" s="233">
        <f t="shared" si="606"/>
        <v>0.12998704853089085</v>
      </c>
      <c r="O1327" s="234">
        <f t="shared" si="607"/>
        <v>0</v>
      </c>
      <c r="P1327" s="234">
        <f t="shared" si="608"/>
        <v>0</v>
      </c>
      <c r="Q1327" s="1341">
        <v>0</v>
      </c>
    </row>
    <row r="1328" spans="1:17" hidden="1" outlineLevel="1">
      <c r="A1328" s="270" t="s">
        <v>1200</v>
      </c>
      <c r="B1328" s="1316" t="s">
        <v>437</v>
      </c>
      <c r="C1328" s="1316" t="s">
        <v>592</v>
      </c>
      <c r="D1328" s="1317" t="s">
        <v>433</v>
      </c>
      <c r="E1328" s="1318">
        <v>1</v>
      </c>
      <c r="F1328" s="1319" t="s">
        <v>443</v>
      </c>
      <c r="G1328" s="1315">
        <v>3737</v>
      </c>
      <c r="H1328" s="238">
        <f t="shared" si="609"/>
        <v>2.940396061264071E-4</v>
      </c>
      <c r="I1328" s="1490">
        <f>IF(H1026&gt;0,$AE$1194/(1000000/((H1026/$U$892)*$U$1189)),0)</f>
        <v>2.940396061264071E-4</v>
      </c>
      <c r="J1328" s="1483"/>
      <c r="K1328" s="1483"/>
      <c r="L1328" s="1318">
        <v>0.5</v>
      </c>
      <c r="M1328" s="233">
        <f t="shared" si="603"/>
        <v>0.54941300404719162</v>
      </c>
      <c r="N1328" s="233">
        <f t="shared" si="606"/>
        <v>0.54941300404719162</v>
      </c>
      <c r="O1328" s="234">
        <f t="shared" si="607"/>
        <v>0</v>
      </c>
      <c r="P1328" s="234">
        <f t="shared" si="608"/>
        <v>0</v>
      </c>
      <c r="Q1328" s="1341">
        <v>0</v>
      </c>
    </row>
    <row r="1329" spans="1:17" hidden="1" outlineLevel="1">
      <c r="A1329" s="270" t="s">
        <v>1200</v>
      </c>
      <c r="B1329" s="1320" t="s">
        <v>437</v>
      </c>
      <c r="C1329" s="1320" t="s">
        <v>592</v>
      </c>
      <c r="D1329" s="1321" t="s">
        <v>433</v>
      </c>
      <c r="E1329" s="1322">
        <v>1</v>
      </c>
      <c r="F1329" s="1324" t="s">
        <v>444</v>
      </c>
      <c r="G1329" s="1323">
        <v>15889</v>
      </c>
      <c r="H1329" s="239">
        <f t="shared" si="609"/>
        <v>7.1836980075803535E-5</v>
      </c>
      <c r="I1329" s="1490">
        <f>IF(H1027&gt;0,$AE$1195/(1000000/((H1027/$U$893)*$U$1189)),0)</f>
        <v>7.1836980075803535E-5</v>
      </c>
      <c r="J1329" s="1482"/>
      <c r="K1329" s="1482"/>
      <c r="L1329" s="1322">
        <v>0.5</v>
      </c>
      <c r="M1329" s="227">
        <f t="shared" si="603"/>
        <v>0.57070888821222121</v>
      </c>
      <c r="N1329" s="227">
        <f t="shared" si="606"/>
        <v>0.57070888821222121</v>
      </c>
      <c r="O1329" s="228">
        <f t="shared" si="607"/>
        <v>0</v>
      </c>
      <c r="P1329" s="228">
        <f t="shared" si="608"/>
        <v>0</v>
      </c>
      <c r="Q1329" s="1342">
        <v>0</v>
      </c>
    </row>
    <row r="1330" spans="1:17" hidden="1" outlineLevel="1">
      <c r="A1330" s="270" t="s">
        <v>1200</v>
      </c>
      <c r="B1330" s="1316" t="s">
        <v>438</v>
      </c>
      <c r="C1330" s="1316" t="s">
        <v>593</v>
      </c>
      <c r="D1330" s="1317" t="s">
        <v>433</v>
      </c>
      <c r="E1330" s="1318">
        <v>1</v>
      </c>
      <c r="F1330" s="1319" t="s">
        <v>868</v>
      </c>
      <c r="G1330" s="1311">
        <v>1736</v>
      </c>
      <c r="H1330" s="238">
        <f>SUM(I1330:K1330)</f>
        <v>8.8244695014368327E-3</v>
      </c>
      <c r="I1330" s="1489">
        <f>IF(H1028&gt;0,$AE$1190/(1000000/((H1028/$U$888)*$U$1189)),0)</f>
        <v>8.8244695014368327E-3</v>
      </c>
      <c r="J1330" s="1483"/>
      <c r="K1330" s="1483"/>
      <c r="L1330" s="1318">
        <v>0.5</v>
      </c>
      <c r="M1330" s="233">
        <f>SUM(N1330:P1330)-Q1330</f>
        <v>7.6596395272471707</v>
      </c>
      <c r="N1330" s="233">
        <f t="shared" si="606"/>
        <v>7.6596395272471707</v>
      </c>
      <c r="O1330" s="234">
        <f t="shared" si="607"/>
        <v>0</v>
      </c>
      <c r="P1330" s="234">
        <f>E1330*G1330*K1330*L1330*15</f>
        <v>0</v>
      </c>
      <c r="Q1330" s="1341">
        <v>0</v>
      </c>
    </row>
    <row r="1331" spans="1:17" hidden="1" outlineLevel="1">
      <c r="A1331" s="270" t="s">
        <v>1200</v>
      </c>
      <c r="B1331" s="1316" t="s">
        <v>438</v>
      </c>
      <c r="C1331" s="1316" t="s">
        <v>593</v>
      </c>
      <c r="D1331" s="1317" t="s">
        <v>433</v>
      </c>
      <c r="E1331" s="1318">
        <v>1</v>
      </c>
      <c r="F1331" s="1319" t="s">
        <v>441</v>
      </c>
      <c r="G1331" s="1315">
        <v>609.55999999999995</v>
      </c>
      <c r="H1331" s="238">
        <f t="shared" ref="H1331" si="610">SUM(I1331:K1331)</f>
        <v>2.6427161254513006E-3</v>
      </c>
      <c r="I1331" s="1490">
        <f>IF(H1029&gt;0,$AE$1192/(1000000/((H1029/$U$890)*$U$1189)),0)</f>
        <v>2.6427161254513006E-3</v>
      </c>
      <c r="J1331" s="1483"/>
      <c r="K1331" s="1483"/>
      <c r="L1331" s="1318">
        <v>0.5</v>
      </c>
      <c r="M1331" s="233">
        <f t="shared" ref="M1331" si="611">SUM(N1331:P1331)-Q1331</f>
        <v>0.80544702071504737</v>
      </c>
      <c r="N1331" s="233">
        <f t="shared" si="606"/>
        <v>0.80544702071504737</v>
      </c>
      <c r="O1331" s="234">
        <f t="shared" si="607"/>
        <v>0</v>
      </c>
      <c r="P1331" s="234">
        <f t="shared" ref="P1331:P1351" si="612">E1331*G1331*K1331*L1331*15</f>
        <v>0</v>
      </c>
      <c r="Q1331" s="1341">
        <v>0</v>
      </c>
    </row>
    <row r="1332" spans="1:17" hidden="1" outlineLevel="1">
      <c r="A1332" s="270" t="s">
        <v>1200</v>
      </c>
      <c r="B1332" s="1316" t="s">
        <v>438</v>
      </c>
      <c r="C1332" s="1316" t="s">
        <v>593</v>
      </c>
      <c r="D1332" s="1317" t="s">
        <v>433</v>
      </c>
      <c r="E1332" s="1318">
        <v>1</v>
      </c>
      <c r="F1332" s="1319" t="s">
        <v>442</v>
      </c>
      <c r="G1332" s="1315">
        <v>5052</v>
      </c>
      <c r="H1332" s="238">
        <f t="shared" ref="H1332:H1342" si="613">SUM(I1332:K1332)</f>
        <v>2.9034521264360082E-4</v>
      </c>
      <c r="I1332" s="1490">
        <f>IF(H1030&gt;0,$AE$1193/(1000000/((H1030/$U$891)*$U$1189)),0)</f>
        <v>2.9034521264360082E-4</v>
      </c>
      <c r="J1332" s="1483"/>
      <c r="K1332" s="1483"/>
      <c r="L1332" s="1318">
        <v>0.5</v>
      </c>
      <c r="M1332" s="233">
        <f t="shared" ref="M1332:M1342" si="614">SUM(N1332:P1332)-Q1332</f>
        <v>0.73341200713773569</v>
      </c>
      <c r="N1332" s="233">
        <f t="shared" si="606"/>
        <v>0.73341200713773569</v>
      </c>
      <c r="O1332" s="234">
        <f t="shared" si="607"/>
        <v>0</v>
      </c>
      <c r="P1332" s="234">
        <f t="shared" si="612"/>
        <v>0</v>
      </c>
      <c r="Q1332" s="1341">
        <v>0</v>
      </c>
    </row>
    <row r="1333" spans="1:17" hidden="1" outlineLevel="1">
      <c r="A1333" s="270" t="s">
        <v>1200</v>
      </c>
      <c r="B1333" s="1316" t="s">
        <v>438</v>
      </c>
      <c r="C1333" s="1316" t="s">
        <v>593</v>
      </c>
      <c r="D1333" s="1317" t="s">
        <v>433</v>
      </c>
      <c r="E1333" s="1318">
        <v>1</v>
      </c>
      <c r="F1333" s="1319" t="s">
        <v>443</v>
      </c>
      <c r="G1333" s="1315">
        <v>3737</v>
      </c>
      <c r="H1333" s="238">
        <f t="shared" si="613"/>
        <v>4.3300054591059057E-3</v>
      </c>
      <c r="I1333" s="1490">
        <f>IF(H1031&gt;0,$AE$1194/(1000000/((H1031/$U$892)*$U$1189)),0)</f>
        <v>4.3300054591059057E-3</v>
      </c>
      <c r="J1333" s="1483"/>
      <c r="K1333" s="1483"/>
      <c r="L1333" s="1318">
        <v>0.5</v>
      </c>
      <c r="M1333" s="233">
        <f t="shared" si="614"/>
        <v>8.0906152003393856</v>
      </c>
      <c r="N1333" s="233">
        <f t="shared" si="606"/>
        <v>8.0906152003393856</v>
      </c>
      <c r="O1333" s="234">
        <f t="shared" si="607"/>
        <v>0</v>
      </c>
      <c r="P1333" s="234">
        <f t="shared" si="612"/>
        <v>0</v>
      </c>
      <c r="Q1333" s="1341">
        <v>0</v>
      </c>
    </row>
    <row r="1334" spans="1:17" hidden="1" outlineLevel="1">
      <c r="A1334" s="270" t="s">
        <v>1200</v>
      </c>
      <c r="B1334" s="1316" t="s">
        <v>438</v>
      </c>
      <c r="C1334" s="1316" t="s">
        <v>593</v>
      </c>
      <c r="D1334" s="1317" t="s">
        <v>433</v>
      </c>
      <c r="E1334" s="1318">
        <v>1</v>
      </c>
      <c r="F1334" s="1319" t="s">
        <v>444</v>
      </c>
      <c r="G1334" s="1315">
        <v>15889</v>
      </c>
      <c r="H1334" s="238">
        <f t="shared" si="613"/>
        <v>5.2571608146383499E-4</v>
      </c>
      <c r="I1334" s="1490">
        <f>IF(H1032&gt;0,$AE$1195/(1000000/((H1032/$U$893)*$U$1189)),0)</f>
        <v>5.2571608146383499E-4</v>
      </c>
      <c r="J1334" s="1483"/>
      <c r="K1334" s="1483"/>
      <c r="L1334" s="1318">
        <v>0.5</v>
      </c>
      <c r="M1334" s="233">
        <f t="shared" si="614"/>
        <v>4.1765514091894369</v>
      </c>
      <c r="N1334" s="233">
        <f t="shared" si="606"/>
        <v>4.1765514091894369</v>
      </c>
      <c r="O1334" s="234">
        <f t="shared" si="607"/>
        <v>0</v>
      </c>
      <c r="P1334" s="234">
        <f t="shared" si="612"/>
        <v>0</v>
      </c>
      <c r="Q1334" s="1341">
        <v>0</v>
      </c>
    </row>
    <row r="1335" spans="1:17" hidden="1" outlineLevel="1">
      <c r="A1335" s="270" t="s">
        <v>1200</v>
      </c>
      <c r="B1335" s="1320" t="s">
        <v>438</v>
      </c>
      <c r="C1335" s="1320" t="s">
        <v>593</v>
      </c>
      <c r="D1335" s="1321" t="s">
        <v>433</v>
      </c>
      <c r="E1335" s="1322">
        <v>1</v>
      </c>
      <c r="F1335" s="1324" t="s">
        <v>445</v>
      </c>
      <c r="G1335" s="1323">
        <v>32171</v>
      </c>
      <c r="H1335" s="239">
        <f t="shared" si="613"/>
        <v>2.5143746715120024E-5</v>
      </c>
      <c r="I1335" s="1490">
        <f>IF(H1033&gt;0,$AE$1196/(1000000/((H1033/$U$894)*$U$1189)),0)</f>
        <v>2.5143746715120024E-5</v>
      </c>
      <c r="J1335" s="1482"/>
      <c r="K1335" s="1482"/>
      <c r="L1335" s="1322">
        <v>0.5</v>
      </c>
      <c r="M1335" s="227">
        <f t="shared" si="614"/>
        <v>0.40444973778606313</v>
      </c>
      <c r="N1335" s="227">
        <f t="shared" si="606"/>
        <v>0.40444973778606313</v>
      </c>
      <c r="O1335" s="228">
        <f t="shared" si="607"/>
        <v>0</v>
      </c>
      <c r="P1335" s="228">
        <f t="shared" si="612"/>
        <v>0</v>
      </c>
      <c r="Q1335" s="1342">
        <v>0</v>
      </c>
    </row>
    <row r="1336" spans="1:17" hidden="1" outlineLevel="1">
      <c r="A1336" s="270" t="s">
        <v>1200</v>
      </c>
      <c r="B1336" s="1316" t="s">
        <v>418</v>
      </c>
      <c r="C1336" s="1316" t="s">
        <v>439</v>
      </c>
      <c r="D1336" s="1317" t="s">
        <v>433</v>
      </c>
      <c r="E1336" s="1318">
        <v>1.5</v>
      </c>
      <c r="F1336" s="1319" t="s">
        <v>868</v>
      </c>
      <c r="G1336" s="1311">
        <v>1736</v>
      </c>
      <c r="H1336" s="238">
        <f t="shared" si="613"/>
        <v>4.8811406205130747E-2</v>
      </c>
      <c r="I1336" s="1489">
        <f>IF(H1034&gt;0,$AE$1190/(1000000/((H1034/$U$888)*$U$1189)),0)</f>
        <v>4.8811406205130747E-2</v>
      </c>
      <c r="J1336" s="1483"/>
      <c r="K1336" s="1483"/>
      <c r="L1336" s="1318">
        <v>0.5</v>
      </c>
      <c r="M1336" s="233">
        <f t="shared" si="614"/>
        <v>63.552450879080233</v>
      </c>
      <c r="N1336" s="233">
        <f t="shared" si="606"/>
        <v>63.552450879080233</v>
      </c>
      <c r="O1336" s="234">
        <f t="shared" si="607"/>
        <v>0</v>
      </c>
      <c r="P1336" s="234">
        <f t="shared" si="612"/>
        <v>0</v>
      </c>
      <c r="Q1336" s="1341">
        <v>0</v>
      </c>
    </row>
    <row r="1337" spans="1:17" hidden="1" outlineLevel="1">
      <c r="A1337" s="270" t="s">
        <v>1200</v>
      </c>
      <c r="B1337" s="1316" t="s">
        <v>418</v>
      </c>
      <c r="C1337" s="1316" t="s">
        <v>439</v>
      </c>
      <c r="D1337" s="1317" t="s">
        <v>433</v>
      </c>
      <c r="E1337" s="1318">
        <v>1.5</v>
      </c>
      <c r="F1337" s="1319" t="s">
        <v>441</v>
      </c>
      <c r="G1337" s="1315">
        <v>609.55999999999995</v>
      </c>
      <c r="H1337" s="238">
        <f t="shared" si="613"/>
        <v>7.5931561914375403E-2</v>
      </c>
      <c r="I1337" s="1490">
        <f>IF(H1035&gt;0,$AE$1192/(1000000/((H1035/$U$890)*$U$1189)),0)</f>
        <v>7.5931561914375403E-2</v>
      </c>
      <c r="J1337" s="1483"/>
      <c r="K1337" s="1483"/>
      <c r="L1337" s="1318">
        <v>0.5</v>
      </c>
      <c r="M1337" s="233">
        <f t="shared" si="614"/>
        <v>34.713632160395001</v>
      </c>
      <c r="N1337" s="233">
        <f t="shared" si="606"/>
        <v>34.713632160395001</v>
      </c>
      <c r="O1337" s="234">
        <f t="shared" si="607"/>
        <v>0</v>
      </c>
      <c r="P1337" s="234">
        <f t="shared" si="612"/>
        <v>0</v>
      </c>
      <c r="Q1337" s="1341">
        <v>0</v>
      </c>
    </row>
    <row r="1338" spans="1:17" hidden="1" outlineLevel="1">
      <c r="A1338" s="270" t="s">
        <v>1200</v>
      </c>
      <c r="B1338" s="1316" t="s">
        <v>418</v>
      </c>
      <c r="C1338" s="1316" t="s">
        <v>439</v>
      </c>
      <c r="D1338" s="1317" t="s">
        <v>433</v>
      </c>
      <c r="E1338" s="1318">
        <v>1.5</v>
      </c>
      <c r="F1338" s="1319" t="s">
        <v>442</v>
      </c>
      <c r="G1338" s="1315">
        <v>5052</v>
      </c>
      <c r="H1338" s="238">
        <f t="shared" si="613"/>
        <v>0</v>
      </c>
      <c r="I1338" s="1490">
        <f>IF(H1036&gt;0,$AE$1193/(1000000/((H1036/$U$891)*$U$1189)),0)</f>
        <v>0</v>
      </c>
      <c r="J1338" s="1483"/>
      <c r="K1338" s="1483"/>
      <c r="L1338" s="1318">
        <v>0.5</v>
      </c>
      <c r="M1338" s="233">
        <f t="shared" si="614"/>
        <v>0</v>
      </c>
      <c r="N1338" s="233">
        <f t="shared" si="606"/>
        <v>0</v>
      </c>
      <c r="O1338" s="234">
        <f t="shared" si="607"/>
        <v>0</v>
      </c>
      <c r="P1338" s="234">
        <f t="shared" si="612"/>
        <v>0</v>
      </c>
      <c r="Q1338" s="1341">
        <v>0</v>
      </c>
    </row>
    <row r="1339" spans="1:17" hidden="1" outlineLevel="1">
      <c r="A1339" s="270" t="s">
        <v>1200</v>
      </c>
      <c r="B1339" s="1316" t="s">
        <v>418</v>
      </c>
      <c r="C1339" s="1316" t="s">
        <v>439</v>
      </c>
      <c r="D1339" s="1317" t="s">
        <v>433</v>
      </c>
      <c r="E1339" s="1318">
        <v>1.5</v>
      </c>
      <c r="F1339" s="1319" t="s">
        <v>443</v>
      </c>
      <c r="G1339" s="1315">
        <v>3737</v>
      </c>
      <c r="H1339" s="238">
        <f t="shared" si="613"/>
        <v>3.8577996323784593E-2</v>
      </c>
      <c r="I1339" s="1490">
        <f>IF(H1037&gt;0,$AE$1194/(1000000/((H1037/$U$892)*$U$1189)),0)</f>
        <v>3.8577996323784593E-2</v>
      </c>
      <c r="J1339" s="1483"/>
      <c r="K1339" s="1483"/>
      <c r="L1339" s="1318">
        <v>0.5</v>
      </c>
      <c r="M1339" s="233">
        <f t="shared" si="614"/>
        <v>108.12447919648727</v>
      </c>
      <c r="N1339" s="233">
        <f t="shared" si="606"/>
        <v>108.12447919648727</v>
      </c>
      <c r="O1339" s="234">
        <f t="shared" si="607"/>
        <v>0</v>
      </c>
      <c r="P1339" s="234">
        <f t="shared" si="612"/>
        <v>0</v>
      </c>
      <c r="Q1339" s="1341">
        <v>0</v>
      </c>
    </row>
    <row r="1340" spans="1:17" hidden="1" outlineLevel="1">
      <c r="A1340" s="270" t="s">
        <v>1200</v>
      </c>
      <c r="B1340" s="1316" t="s">
        <v>418</v>
      </c>
      <c r="C1340" s="1316" t="s">
        <v>439</v>
      </c>
      <c r="D1340" s="1317" t="s">
        <v>433</v>
      </c>
      <c r="E1340" s="1318">
        <v>1.5</v>
      </c>
      <c r="F1340" s="1319" t="s">
        <v>444</v>
      </c>
      <c r="G1340" s="1315">
        <v>15889</v>
      </c>
      <c r="H1340" s="238">
        <f t="shared" si="613"/>
        <v>9.4041137553779186E-3</v>
      </c>
      <c r="I1340" s="1490">
        <f>IF(H1038&gt;0,$AE$1195/(1000000/((H1038/$U$893)*$U$1189)),0)</f>
        <v>9.4041137553779186E-3</v>
      </c>
      <c r="J1340" s="1483"/>
      <c r="K1340" s="1483"/>
      <c r="L1340" s="1318">
        <v>0.5</v>
      </c>
      <c r="M1340" s="233">
        <f t="shared" si="614"/>
        <v>112.06647259439981</v>
      </c>
      <c r="N1340" s="233">
        <f t="shared" si="606"/>
        <v>112.06647259439981</v>
      </c>
      <c r="O1340" s="234">
        <f t="shared" si="607"/>
        <v>0</v>
      </c>
      <c r="P1340" s="234">
        <f t="shared" si="612"/>
        <v>0</v>
      </c>
      <c r="Q1340" s="1341">
        <v>0</v>
      </c>
    </row>
    <row r="1341" spans="1:17" hidden="1" outlineLevel="1">
      <c r="A1341" s="270" t="s">
        <v>1200</v>
      </c>
      <c r="B1341" s="1320" t="s">
        <v>418</v>
      </c>
      <c r="C1341" s="1320" t="s">
        <v>439</v>
      </c>
      <c r="D1341" s="1321" t="s">
        <v>433</v>
      </c>
      <c r="E1341" s="1322">
        <v>1.5</v>
      </c>
      <c r="F1341" s="1324" t="s">
        <v>445</v>
      </c>
      <c r="G1341" s="1323">
        <v>32171</v>
      </c>
      <c r="H1341" s="239">
        <f t="shared" si="613"/>
        <v>0</v>
      </c>
      <c r="I1341" s="1490">
        <f>IF(H1039&gt;0,$AE$1196/(1000000/((H1039/$U$894)*$U$1189)),0)</f>
        <v>0</v>
      </c>
      <c r="J1341" s="1482"/>
      <c r="K1341" s="1482"/>
      <c r="L1341" s="1322">
        <v>0.5</v>
      </c>
      <c r="M1341" s="227">
        <f t="shared" si="614"/>
        <v>0</v>
      </c>
      <c r="N1341" s="227">
        <f t="shared" si="606"/>
        <v>0</v>
      </c>
      <c r="O1341" s="228">
        <f t="shared" si="607"/>
        <v>0</v>
      </c>
      <c r="P1341" s="228">
        <f t="shared" si="612"/>
        <v>0</v>
      </c>
      <c r="Q1341" s="1342">
        <v>0</v>
      </c>
    </row>
    <row r="1342" spans="1:17" hidden="1" outlineLevel="1">
      <c r="A1342" s="270" t="s">
        <v>1200</v>
      </c>
      <c r="B1342" s="1316" t="s">
        <v>411</v>
      </c>
      <c r="C1342" s="1316" t="s">
        <v>440</v>
      </c>
      <c r="D1342" s="1317" t="s">
        <v>433</v>
      </c>
      <c r="E1342" s="1318">
        <v>1.5</v>
      </c>
      <c r="F1342" s="1319" t="s">
        <v>868</v>
      </c>
      <c r="G1342" s="1311">
        <v>1736</v>
      </c>
      <c r="H1342" s="238">
        <f t="shared" si="613"/>
        <v>7.7949480596025342E-2</v>
      </c>
      <c r="I1342" s="1489">
        <f>IF(H1040&gt;0,$AE$1190/(1000000/((H1040/$U$888)*$U$1189)),0)</f>
        <v>7.7949480596025342E-2</v>
      </c>
      <c r="J1342" s="1483"/>
      <c r="K1342" s="1483"/>
      <c r="L1342" s="1318">
        <v>0.5</v>
      </c>
      <c r="M1342" s="233">
        <f t="shared" si="614"/>
        <v>101.490223736025</v>
      </c>
      <c r="N1342" s="233">
        <f t="shared" si="606"/>
        <v>101.490223736025</v>
      </c>
      <c r="O1342" s="234">
        <f t="shared" si="607"/>
        <v>0</v>
      </c>
      <c r="P1342" s="234">
        <f t="shared" si="612"/>
        <v>0</v>
      </c>
      <c r="Q1342" s="1341">
        <v>0</v>
      </c>
    </row>
    <row r="1343" spans="1:17" hidden="1" outlineLevel="1">
      <c r="A1343" s="270" t="s">
        <v>1200</v>
      </c>
      <c r="B1343" s="1316" t="s">
        <v>411</v>
      </c>
      <c r="C1343" s="1316" t="s">
        <v>440</v>
      </c>
      <c r="D1343" s="1317" t="s">
        <v>433</v>
      </c>
      <c r="E1343" s="1318">
        <v>1.5</v>
      </c>
      <c r="F1343" s="1317" t="s">
        <v>441</v>
      </c>
      <c r="G1343" s="1315">
        <v>609.55999999999995</v>
      </c>
      <c r="H1343" s="238">
        <f t="shared" ref="H1343" si="615">SUM(I1343:K1343)</f>
        <v>3.4722353537179597E-2</v>
      </c>
      <c r="I1343" s="1490">
        <f>IF(H1041&gt;0,$AE$1192/(1000000/((H1041/$U$890)*$U$1189)),0)</f>
        <v>3.4722353537179597E-2</v>
      </c>
      <c r="J1343" s="1483"/>
      <c r="K1343" s="1483"/>
      <c r="L1343" s="1318">
        <v>0.5</v>
      </c>
      <c r="M1343" s="233">
        <f t="shared" ref="M1343:M1351" si="616">SUM(N1343:P1343)-Q1343</f>
        <v>15.874018366592395</v>
      </c>
      <c r="N1343" s="233">
        <f t="shared" si="606"/>
        <v>15.874018366592395</v>
      </c>
      <c r="O1343" s="234">
        <f t="shared" si="607"/>
        <v>0</v>
      </c>
      <c r="P1343" s="234">
        <f t="shared" si="612"/>
        <v>0</v>
      </c>
      <c r="Q1343" s="1341">
        <v>0</v>
      </c>
    </row>
    <row r="1344" spans="1:17" hidden="1" outlineLevel="1">
      <c r="A1344" s="270" t="s">
        <v>1200</v>
      </c>
      <c r="B1344" s="1316" t="s">
        <v>411</v>
      </c>
      <c r="C1344" s="1316" t="s">
        <v>440</v>
      </c>
      <c r="D1344" s="1317" t="s">
        <v>433</v>
      </c>
      <c r="E1344" s="1318">
        <v>1.5</v>
      </c>
      <c r="F1344" s="1319" t="s">
        <v>442</v>
      </c>
      <c r="G1344" s="1315">
        <v>5052</v>
      </c>
      <c r="H1344" s="238">
        <f>SUM(I1344:K1344)</f>
        <v>0</v>
      </c>
      <c r="I1344" s="1490">
        <f>IF(H1042&gt;0,$AE$1193/(1000000/((H1042/$U$891)*$U$1189)),0)</f>
        <v>0</v>
      </c>
      <c r="J1344" s="1483"/>
      <c r="K1344" s="1483"/>
      <c r="L1344" s="1318">
        <v>0.5</v>
      </c>
      <c r="M1344" s="233">
        <f t="shared" si="616"/>
        <v>0</v>
      </c>
      <c r="N1344" s="233">
        <f t="shared" si="606"/>
        <v>0</v>
      </c>
      <c r="O1344" s="234">
        <f t="shared" si="607"/>
        <v>0</v>
      </c>
      <c r="P1344" s="234">
        <f t="shared" si="612"/>
        <v>0</v>
      </c>
      <c r="Q1344" s="1341">
        <v>0</v>
      </c>
    </row>
    <row r="1345" spans="1:21" hidden="1" outlineLevel="1">
      <c r="A1345" s="270" t="s">
        <v>1200</v>
      </c>
      <c r="B1345" s="1316" t="s">
        <v>411</v>
      </c>
      <c r="C1345" s="1316" t="s">
        <v>440</v>
      </c>
      <c r="D1345" s="1317" t="s">
        <v>433</v>
      </c>
      <c r="E1345" s="1318">
        <v>1.5</v>
      </c>
      <c r="F1345" s="1319" t="s">
        <v>443</v>
      </c>
      <c r="G1345" s="1315">
        <v>3737</v>
      </c>
      <c r="H1345" s="238">
        <f t="shared" ref="H1345:H1351" si="617">SUM(I1345:K1345)</f>
        <v>4.0825765757284242E-2</v>
      </c>
      <c r="I1345" s="1490">
        <f>IF(H1043&gt;0,$AE$1194/(1000000/((H1043/$U$892)*$U$1189)),0)</f>
        <v>4.0825765757284242E-2</v>
      </c>
      <c r="J1345" s="1483"/>
      <c r="K1345" s="1483"/>
      <c r="L1345" s="1318">
        <v>0.5</v>
      </c>
      <c r="M1345" s="233">
        <f t="shared" si="616"/>
        <v>114.42441497622841</v>
      </c>
      <c r="N1345" s="233">
        <f t="shared" si="606"/>
        <v>114.42441497622841</v>
      </c>
      <c r="O1345" s="234">
        <f t="shared" si="607"/>
        <v>0</v>
      </c>
      <c r="P1345" s="234">
        <f t="shared" si="612"/>
        <v>0</v>
      </c>
      <c r="Q1345" s="1341">
        <v>0</v>
      </c>
    </row>
    <row r="1346" spans="1:21" hidden="1" outlineLevel="1">
      <c r="A1346" s="270" t="s">
        <v>1200</v>
      </c>
      <c r="B1346" s="1320" t="s">
        <v>411</v>
      </c>
      <c r="C1346" s="1320" t="s">
        <v>440</v>
      </c>
      <c r="D1346" s="1321" t="s">
        <v>433</v>
      </c>
      <c r="E1346" s="1322">
        <v>1.5</v>
      </c>
      <c r="F1346" s="1324" t="s">
        <v>444</v>
      </c>
      <c r="G1346" s="1323">
        <v>15889</v>
      </c>
      <c r="H1346" s="239">
        <f t="shared" si="617"/>
        <v>4.9306290870210611E-3</v>
      </c>
      <c r="I1346" s="1490">
        <f>IF(H1044&gt;0,$AE$1195/(1000000/((H1044/$U$893)*$U$1189)),0)</f>
        <v>4.9306290870210611E-3</v>
      </c>
      <c r="J1346" s="1482"/>
      <c r="K1346" s="1482"/>
      <c r="L1346" s="1322">
        <v>0.5</v>
      </c>
      <c r="M1346" s="227">
        <f t="shared" si="616"/>
        <v>58.75707417275823</v>
      </c>
      <c r="N1346" s="227">
        <f t="shared" si="606"/>
        <v>58.75707417275823</v>
      </c>
      <c r="O1346" s="228">
        <f t="shared" si="607"/>
        <v>0</v>
      </c>
      <c r="P1346" s="228">
        <f t="shared" si="612"/>
        <v>0</v>
      </c>
      <c r="Q1346" s="1342">
        <v>0</v>
      </c>
    </row>
    <row r="1347" spans="1:21" hidden="1" outlineLevel="1">
      <c r="A1347" s="270" t="s">
        <v>1200</v>
      </c>
      <c r="B1347" s="1316" t="s">
        <v>409</v>
      </c>
      <c r="C1347" s="1316" t="s">
        <v>594</v>
      </c>
      <c r="D1347" s="1317" t="s">
        <v>433</v>
      </c>
      <c r="E1347" s="1318">
        <v>1</v>
      </c>
      <c r="F1347" s="1319" t="s">
        <v>868</v>
      </c>
      <c r="G1347" s="1311">
        <v>1736</v>
      </c>
      <c r="H1347" s="238">
        <f t="shared" si="617"/>
        <v>1.4521016714805679E-2</v>
      </c>
      <c r="I1347" s="1489">
        <f>IF(H1045&gt;0,$AE$1190/(1000000/((H1045/$U$888)*$U$1189)),0)</f>
        <v>1.4521016714805679E-2</v>
      </c>
      <c r="J1347" s="1483"/>
      <c r="K1347" s="1483"/>
      <c r="L1347" s="1318">
        <v>0.5</v>
      </c>
      <c r="M1347" s="233">
        <f t="shared" si="616"/>
        <v>12.60424250845133</v>
      </c>
      <c r="N1347" s="233">
        <f t="shared" si="606"/>
        <v>12.60424250845133</v>
      </c>
      <c r="O1347" s="234">
        <f t="shared" si="607"/>
        <v>0</v>
      </c>
      <c r="P1347" s="234">
        <f t="shared" si="612"/>
        <v>0</v>
      </c>
      <c r="Q1347" s="1341">
        <v>0</v>
      </c>
    </row>
    <row r="1348" spans="1:21" hidden="1" outlineLevel="1">
      <c r="A1348" s="270" t="s">
        <v>1200</v>
      </c>
      <c r="B1348" s="1316" t="s">
        <v>409</v>
      </c>
      <c r="C1348" s="1316" t="s">
        <v>594</v>
      </c>
      <c r="D1348" s="1317" t="s">
        <v>433</v>
      </c>
      <c r="E1348" s="1318">
        <v>1</v>
      </c>
      <c r="F1348" s="1317" t="s">
        <v>441</v>
      </c>
      <c r="G1348" s="1315">
        <v>609.55999999999995</v>
      </c>
      <c r="H1348" s="238">
        <f t="shared" si="617"/>
        <v>1.1596519586487398E-2</v>
      </c>
      <c r="I1348" s="1490">
        <f>IF(H1046&gt;0,$AE$1192/(1000000/((H1046/$U$890)*$U$1189)),0)</f>
        <v>1.1596519586487398E-2</v>
      </c>
      <c r="J1348" s="1483"/>
      <c r="K1348" s="1483"/>
      <c r="L1348" s="1318">
        <v>0.5</v>
      </c>
      <c r="M1348" s="233">
        <f t="shared" si="616"/>
        <v>3.5343872395696287</v>
      </c>
      <c r="N1348" s="233">
        <f t="shared" si="606"/>
        <v>3.5343872395696287</v>
      </c>
      <c r="O1348" s="234">
        <f t="shared" si="607"/>
        <v>0</v>
      </c>
      <c r="P1348" s="234">
        <f t="shared" si="612"/>
        <v>0</v>
      </c>
      <c r="Q1348" s="1341">
        <v>0</v>
      </c>
    </row>
    <row r="1349" spans="1:21" hidden="1" outlineLevel="1">
      <c r="A1349" s="270" t="s">
        <v>1200</v>
      </c>
      <c r="B1349" s="1316" t="s">
        <v>409</v>
      </c>
      <c r="C1349" s="1316" t="s">
        <v>594</v>
      </c>
      <c r="D1349" s="1317" t="s">
        <v>433</v>
      </c>
      <c r="E1349" s="1318">
        <v>1</v>
      </c>
      <c r="F1349" s="1319" t="s">
        <v>442</v>
      </c>
      <c r="G1349" s="1315">
        <v>5052</v>
      </c>
      <c r="H1349" s="238">
        <f t="shared" si="617"/>
        <v>0</v>
      </c>
      <c r="I1349" s="1490">
        <f>IF(H1047&gt;0,$AE$1193/(1000000/((H1047/$U$891)*$U$1189)),0)</f>
        <v>0</v>
      </c>
      <c r="J1349" s="1483"/>
      <c r="K1349" s="1483"/>
      <c r="L1349" s="1318">
        <v>0.5</v>
      </c>
      <c r="M1349" s="233">
        <f t="shared" si="616"/>
        <v>0</v>
      </c>
      <c r="N1349" s="233">
        <f t="shared" si="606"/>
        <v>0</v>
      </c>
      <c r="O1349" s="234">
        <f t="shared" si="607"/>
        <v>0</v>
      </c>
      <c r="P1349" s="234">
        <f t="shared" si="612"/>
        <v>0</v>
      </c>
      <c r="Q1349" s="1341">
        <v>0</v>
      </c>
    </row>
    <row r="1350" spans="1:21" hidden="1" outlineLevel="1">
      <c r="A1350" s="270" t="s">
        <v>1200</v>
      </c>
      <c r="B1350" s="1316" t="s">
        <v>409</v>
      </c>
      <c r="C1350" s="1316" t="s">
        <v>594</v>
      </c>
      <c r="D1350" s="1317" t="s">
        <v>433</v>
      </c>
      <c r="E1350" s="1318">
        <v>1</v>
      </c>
      <c r="F1350" s="1319" t="s">
        <v>443</v>
      </c>
      <c r="G1350" s="1315">
        <v>3737</v>
      </c>
      <c r="H1350" s="238">
        <f t="shared" si="617"/>
        <v>3.2826799435067729E-2</v>
      </c>
      <c r="I1350" s="1490">
        <f>IF(H1048&gt;0,$AE$1194/(1000000/((H1048/$U$892)*$U$1189)),0)</f>
        <v>3.2826799435067729E-2</v>
      </c>
      <c r="J1350" s="1483"/>
      <c r="K1350" s="1483"/>
      <c r="L1350" s="1318">
        <v>0.5</v>
      </c>
      <c r="M1350" s="235">
        <f t="shared" si="616"/>
        <v>61.336874744424051</v>
      </c>
      <c r="N1350" s="233">
        <f t="shared" si="606"/>
        <v>61.336874744424051</v>
      </c>
      <c r="O1350" s="234">
        <f t="shared" si="607"/>
        <v>0</v>
      </c>
      <c r="P1350" s="234">
        <f t="shared" si="612"/>
        <v>0</v>
      </c>
      <c r="Q1350" s="1341">
        <v>0</v>
      </c>
    </row>
    <row r="1351" spans="1:21" ht="13.8" hidden="1" outlineLevel="1" thickBot="1">
      <c r="A1351" s="191" t="s">
        <v>1200</v>
      </c>
      <c r="B1351" s="1320" t="s">
        <v>409</v>
      </c>
      <c r="C1351" s="1320" t="s">
        <v>594</v>
      </c>
      <c r="D1351" s="1321" t="s">
        <v>433</v>
      </c>
      <c r="E1351" s="1322">
        <v>1</v>
      </c>
      <c r="F1351" s="1324" t="s">
        <v>444</v>
      </c>
      <c r="G1351" s="1323">
        <v>15889</v>
      </c>
      <c r="H1351" s="239">
        <f t="shared" si="617"/>
        <v>3.4329368963497628E-3</v>
      </c>
      <c r="I1351" s="1482">
        <f>IF(H1049&gt;0,$AE$1195/(1000000/((H1049/$U$893)*$U$1189)),0)</f>
        <v>3.4329368963497628E-3</v>
      </c>
      <c r="J1351" s="1482"/>
      <c r="K1351" s="1482"/>
      <c r="L1351" s="1322">
        <v>0.5</v>
      </c>
      <c r="M1351" s="267">
        <f t="shared" si="616"/>
        <v>27.272967173050692</v>
      </c>
      <c r="N1351" s="227">
        <f t="shared" si="606"/>
        <v>27.272967173050692</v>
      </c>
      <c r="O1351" s="228">
        <f t="shared" si="607"/>
        <v>0</v>
      </c>
      <c r="P1351" s="228">
        <f t="shared" si="612"/>
        <v>0</v>
      </c>
      <c r="Q1351" s="1342">
        <v>0</v>
      </c>
      <c r="R1351" s="512">
        <f>SUM(M1312:M1351)</f>
        <v>1455.0267007269986</v>
      </c>
    </row>
    <row r="1352" spans="1:21" ht="13.8" collapsed="1" thickBot="1">
      <c r="A1352" s="192" t="s">
        <v>1313</v>
      </c>
      <c r="B1352" s="193"/>
      <c r="C1352" s="193"/>
      <c r="D1352" s="193"/>
      <c r="E1352" s="194"/>
      <c r="F1352" s="195"/>
      <c r="G1352" s="194"/>
      <c r="H1352" s="240">
        <f>SUM(H1190:H1351)</f>
        <v>3.5542595845043019</v>
      </c>
      <c r="I1352" s="273"/>
      <c r="J1352" s="273"/>
      <c r="K1352" s="273"/>
      <c r="L1352" s="195"/>
      <c r="M1352" s="232">
        <f>SUM(M1190:M1351)</f>
        <v>4756.6501497097461</v>
      </c>
      <c r="N1352" s="1411">
        <f>SUM(N1190:N1351)</f>
        <v>4756.6501497097461</v>
      </c>
      <c r="O1352" s="1412">
        <f>SUM(O1190:O1351)</f>
        <v>0</v>
      </c>
      <c r="P1352" s="236">
        <f>SUM(P1190:P1351)</f>
        <v>0</v>
      </c>
      <c r="Q1352" s="236">
        <f>SUM(Q1190:Q1351)</f>
        <v>0</v>
      </c>
      <c r="S1352" s="1591">
        <f>SUM(M1214:M1219)+SUM(M1256:M1261)+SUM(M1296:M1301)+SUM(M1336:M1341)</f>
        <v>800.04740505379448</v>
      </c>
      <c r="T1352" s="1784" t="s">
        <v>1296</v>
      </c>
      <c r="U1352" s="1784"/>
    </row>
    <row r="1353" spans="1:21" ht="13.2" customHeight="1">
      <c r="A1353" s="197"/>
      <c r="B1353" s="198"/>
      <c r="C1353" s="198"/>
      <c r="D1353" s="198"/>
      <c r="E1353" s="199"/>
      <c r="I1353" s="1785" t="s">
        <v>1257</v>
      </c>
      <c r="J1353" s="1785"/>
      <c r="K1353" s="199"/>
      <c r="L1353" s="200"/>
      <c r="M1353" s="201"/>
      <c r="N1353" s="202"/>
      <c r="O1353" s="203"/>
      <c r="P1353" s="204"/>
      <c r="Q1353" s="204"/>
    </row>
    <row r="1354" spans="1:21" ht="13.8" customHeight="1" thickBot="1">
      <c r="A1354" s="15" t="s">
        <v>1198</v>
      </c>
      <c r="B1354" s="206"/>
      <c r="C1354" s="206"/>
      <c r="D1354" s="206"/>
      <c r="E1354" s="207"/>
      <c r="F1354" s="1786" t="s">
        <v>1258</v>
      </c>
      <c r="G1354" s="1786"/>
      <c r="H1354" s="1786"/>
      <c r="I1354" s="1485">
        <f>'1. OST-MÜÜK'!AB28</f>
        <v>1.3352174195215907E-3</v>
      </c>
      <c r="J1354" s="1486"/>
      <c r="K1354" s="208"/>
      <c r="L1354" s="208"/>
      <c r="M1354" s="210"/>
      <c r="N1354" s="210"/>
      <c r="O1354" s="210"/>
      <c r="P1354" s="208"/>
      <c r="Q1354" s="208"/>
    </row>
    <row r="1355" spans="1:21" hidden="1" outlineLevel="1">
      <c r="A1355" s="775" t="s">
        <v>1201</v>
      </c>
      <c r="B1355" s="1343" t="s">
        <v>408</v>
      </c>
      <c r="C1355" s="1330">
        <v>841</v>
      </c>
      <c r="D1355" s="1309" t="s">
        <v>427</v>
      </c>
      <c r="E1355" s="1344" t="s">
        <v>349</v>
      </c>
      <c r="F1355" s="1309" t="s">
        <v>429</v>
      </c>
      <c r="G1355" s="1345">
        <v>9.3490000000000004E-2</v>
      </c>
      <c r="H1355" s="776">
        <f>SUM(I1355:K1355)</f>
        <v>302.40323566069554</v>
      </c>
      <c r="I1355" s="1494">
        <f t="shared" ref="I1355:I1386" si="618">I1053*(100%+$I$1354)</f>
        <v>302.40323566069554</v>
      </c>
      <c r="J1355" s="1494"/>
      <c r="K1355" s="1494"/>
      <c r="L1355" s="1344" t="s">
        <v>349</v>
      </c>
      <c r="M1355" s="772">
        <f>SUM(N1355:P1355)</f>
        <v>28.271678501918426</v>
      </c>
      <c r="N1355" s="773">
        <f>G1355*I1355</f>
        <v>28.271678501918426</v>
      </c>
      <c r="O1355" s="773">
        <f>G1355*J1355*5</f>
        <v>0</v>
      </c>
      <c r="P1355" s="773">
        <f>G1355*K1355*5</f>
        <v>0</v>
      </c>
      <c r="Q1355" s="777"/>
      <c r="R1355" s="774"/>
    </row>
    <row r="1356" spans="1:21" hidden="1" outlineLevel="1">
      <c r="A1356" s="271" t="s">
        <v>1201</v>
      </c>
      <c r="B1356" s="1356" t="s">
        <v>1259</v>
      </c>
      <c r="C1356" s="1332">
        <v>882</v>
      </c>
      <c r="D1356" s="1313" t="s">
        <v>427</v>
      </c>
      <c r="E1356" s="1347" t="s">
        <v>349</v>
      </c>
      <c r="F1356" s="1313" t="s">
        <v>429</v>
      </c>
      <c r="G1356" s="1349">
        <v>9.3490000000000004E-2</v>
      </c>
      <c r="H1356" s="222">
        <f t="shared" ref="H1356" si="619">SUM(I1356:K1356)</f>
        <v>0</v>
      </c>
      <c r="I1356" s="1492">
        <f t="shared" si="618"/>
        <v>0</v>
      </c>
      <c r="J1356" s="1492"/>
      <c r="K1356" s="1492"/>
      <c r="L1356" s="1357" t="s">
        <v>349</v>
      </c>
      <c r="M1356" s="223">
        <f t="shared" ref="M1356" si="620">SUM(N1356:P1356)</f>
        <v>0</v>
      </c>
      <c r="N1356" s="224">
        <f t="shared" ref="N1356" si="621">G1356*I1356</f>
        <v>0</v>
      </c>
      <c r="O1356" s="224">
        <f t="shared" ref="O1356" si="622">G1356*J1356*5</f>
        <v>0</v>
      </c>
      <c r="P1356" s="224">
        <f t="shared" ref="P1356" si="623">G1356*K1356*5</f>
        <v>0</v>
      </c>
      <c r="Q1356" s="205"/>
      <c r="R1356" s="177"/>
    </row>
    <row r="1357" spans="1:21" hidden="1" outlineLevel="1">
      <c r="A1357" s="271" t="s">
        <v>1201</v>
      </c>
      <c r="B1357" s="1346" t="s">
        <v>409</v>
      </c>
      <c r="C1357" s="1332">
        <v>21717</v>
      </c>
      <c r="D1357" s="1313" t="s">
        <v>427</v>
      </c>
      <c r="E1357" s="1347" t="s">
        <v>349</v>
      </c>
      <c r="F1357" s="1313" t="s">
        <v>429</v>
      </c>
      <c r="G1357" s="1349">
        <v>9.3490000000000004E-2</v>
      </c>
      <c r="H1357" s="222">
        <f t="shared" ref="H1357:H1363" si="624">SUM(I1357:K1357)</f>
        <v>767.02277654335353</v>
      </c>
      <c r="I1357" s="1491">
        <f t="shared" si="618"/>
        <v>767.02277654335353</v>
      </c>
      <c r="J1357" s="1491"/>
      <c r="K1357" s="1491"/>
      <c r="L1357" s="1347" t="s">
        <v>349</v>
      </c>
      <c r="M1357" s="223">
        <f t="shared" ref="M1357:M1358" si="625">SUM(N1357:P1357)</f>
        <v>71.70895937903812</v>
      </c>
      <c r="N1357" s="224">
        <f t="shared" ref="N1357:N1421" si="626">G1357*I1357</f>
        <v>71.70895937903812</v>
      </c>
      <c r="O1357" s="224">
        <f t="shared" ref="O1357:O1421" si="627">G1357*J1357*5</f>
        <v>0</v>
      </c>
      <c r="P1357" s="224">
        <f t="shared" ref="P1357:P1421" si="628">G1357*K1357*5</f>
        <v>0</v>
      </c>
      <c r="Q1357" s="208"/>
    </row>
    <row r="1358" spans="1:21" hidden="1" outlineLevel="1">
      <c r="A1358" s="271" t="s">
        <v>1201</v>
      </c>
      <c r="B1358" s="1346" t="s">
        <v>410</v>
      </c>
      <c r="C1358" s="1332">
        <v>749</v>
      </c>
      <c r="D1358" s="1313" t="s">
        <v>427</v>
      </c>
      <c r="E1358" s="1347" t="s">
        <v>349</v>
      </c>
      <c r="F1358" s="1313" t="s">
        <v>430</v>
      </c>
      <c r="G1358" s="1349">
        <v>9.9339999999999998E-2</v>
      </c>
      <c r="H1358" s="222">
        <f t="shared" si="624"/>
        <v>3592.7907601012434</v>
      </c>
      <c r="I1358" s="1491">
        <f t="shared" si="618"/>
        <v>3592.7907601012434</v>
      </c>
      <c r="J1358" s="1491"/>
      <c r="K1358" s="1491"/>
      <c r="L1358" s="1347" t="s">
        <v>349</v>
      </c>
      <c r="M1358" s="223">
        <f t="shared" si="625"/>
        <v>356.90783410845751</v>
      </c>
      <c r="N1358" s="224">
        <f t="shared" si="626"/>
        <v>356.90783410845751</v>
      </c>
      <c r="O1358" s="224">
        <f t="shared" si="627"/>
        <v>0</v>
      </c>
      <c r="P1358" s="224">
        <f t="shared" si="628"/>
        <v>0</v>
      </c>
      <c r="Q1358" s="208"/>
    </row>
    <row r="1359" spans="1:21" hidden="1" outlineLevel="1">
      <c r="A1359" s="271" t="s">
        <v>1201</v>
      </c>
      <c r="B1359" s="1346" t="s">
        <v>411</v>
      </c>
      <c r="C1359" s="1332">
        <v>20044</v>
      </c>
      <c r="D1359" s="1313" t="s">
        <v>427</v>
      </c>
      <c r="E1359" s="1347" t="s">
        <v>349</v>
      </c>
      <c r="F1359" s="1313" t="s">
        <v>430</v>
      </c>
      <c r="G1359" s="1349">
        <v>9.9339999999999998E-2</v>
      </c>
      <c r="H1359" s="222">
        <f t="shared" si="624"/>
        <v>1337.7838504724809</v>
      </c>
      <c r="I1359" s="1491">
        <f t="shared" si="618"/>
        <v>1337.7838504724809</v>
      </c>
      <c r="J1359" s="1491"/>
      <c r="K1359" s="1491"/>
      <c r="L1359" s="1347" t="s">
        <v>349</v>
      </c>
      <c r="M1359" s="223">
        <f t="shared" ref="M1359:M1363" si="629">SUM(N1359:P1359)</f>
        <v>132.89544770593625</v>
      </c>
      <c r="N1359" s="224">
        <f t="shared" si="626"/>
        <v>132.89544770593625</v>
      </c>
      <c r="O1359" s="224">
        <f t="shared" si="627"/>
        <v>0</v>
      </c>
      <c r="P1359" s="224">
        <f t="shared" si="628"/>
        <v>0</v>
      </c>
      <c r="Q1359" s="208"/>
    </row>
    <row r="1360" spans="1:21" hidden="1" outlineLevel="1">
      <c r="A1360" s="271" t="s">
        <v>1201</v>
      </c>
      <c r="B1360" s="1346" t="s">
        <v>412</v>
      </c>
      <c r="C1360" s="1332">
        <v>15141</v>
      </c>
      <c r="D1360" s="1313" t="s">
        <v>427</v>
      </c>
      <c r="E1360" s="1347" t="s">
        <v>349</v>
      </c>
      <c r="F1360" s="1313" t="s">
        <v>429</v>
      </c>
      <c r="G1360" s="1349">
        <v>9.3490000000000004E-2</v>
      </c>
      <c r="H1360" s="222">
        <f t="shared" si="624"/>
        <v>577.77042045106396</v>
      </c>
      <c r="I1360" s="1491">
        <f t="shared" si="618"/>
        <v>577.77042045106396</v>
      </c>
      <c r="J1360" s="1491"/>
      <c r="K1360" s="1491"/>
      <c r="L1360" s="1347" t="s">
        <v>349</v>
      </c>
      <c r="M1360" s="223">
        <f t="shared" si="629"/>
        <v>54.015756607969969</v>
      </c>
      <c r="N1360" s="224">
        <f t="shared" si="626"/>
        <v>54.015756607969969</v>
      </c>
      <c r="O1360" s="224">
        <f t="shared" si="627"/>
        <v>0</v>
      </c>
      <c r="P1360" s="224">
        <f t="shared" si="628"/>
        <v>0</v>
      </c>
      <c r="Q1360" s="208"/>
    </row>
    <row r="1361" spans="1:17" hidden="1" outlineLevel="1">
      <c r="A1361" s="271" t="s">
        <v>1201</v>
      </c>
      <c r="B1361" s="1346" t="s">
        <v>413</v>
      </c>
      <c r="C1361" s="1332">
        <v>16904</v>
      </c>
      <c r="D1361" s="1313" t="s">
        <v>427</v>
      </c>
      <c r="E1361" s="1347" t="s">
        <v>349</v>
      </c>
      <c r="F1361" s="1313" t="s">
        <v>430</v>
      </c>
      <c r="G1361" s="1349">
        <v>9.9339999999999998E-2</v>
      </c>
      <c r="H1361" s="222">
        <f t="shared" si="624"/>
        <v>1941.5889865764523</v>
      </c>
      <c r="I1361" s="1491">
        <f t="shared" si="618"/>
        <v>1941.5889865764523</v>
      </c>
      <c r="J1361" s="1491"/>
      <c r="K1361" s="1491"/>
      <c r="L1361" s="1347" t="s">
        <v>349</v>
      </c>
      <c r="M1361" s="223">
        <f t="shared" si="629"/>
        <v>192.87744992650477</v>
      </c>
      <c r="N1361" s="224">
        <f t="shared" si="626"/>
        <v>192.87744992650477</v>
      </c>
      <c r="O1361" s="224">
        <f t="shared" si="627"/>
        <v>0</v>
      </c>
      <c r="P1361" s="224">
        <f t="shared" si="628"/>
        <v>0</v>
      </c>
      <c r="Q1361" s="208"/>
    </row>
    <row r="1362" spans="1:17" hidden="1" outlineLevel="1">
      <c r="A1362" s="271" t="s">
        <v>1201</v>
      </c>
      <c r="B1362" s="1346" t="s">
        <v>595</v>
      </c>
      <c r="C1362" s="1332">
        <v>891</v>
      </c>
      <c r="D1362" s="1313" t="s">
        <v>427</v>
      </c>
      <c r="E1362" s="1347" t="s">
        <v>349</v>
      </c>
      <c r="F1362" s="1313" t="s">
        <v>429</v>
      </c>
      <c r="G1362" s="1349">
        <v>9.3490000000000004E-2</v>
      </c>
      <c r="H1362" s="222">
        <f t="shared" si="624"/>
        <v>1463.9520878673407</v>
      </c>
      <c r="I1362" s="1491">
        <f t="shared" si="618"/>
        <v>1463.9520878673407</v>
      </c>
      <c r="J1362" s="1491"/>
      <c r="K1362" s="1491"/>
      <c r="L1362" s="1347" t="s">
        <v>349</v>
      </c>
      <c r="M1362" s="223">
        <f t="shared" si="629"/>
        <v>136.86488069471767</v>
      </c>
      <c r="N1362" s="224">
        <f t="shared" si="626"/>
        <v>136.86488069471767</v>
      </c>
      <c r="O1362" s="224">
        <f t="shared" si="627"/>
        <v>0</v>
      </c>
      <c r="P1362" s="224">
        <f t="shared" si="628"/>
        <v>0</v>
      </c>
      <c r="Q1362" s="208"/>
    </row>
    <row r="1363" spans="1:17" hidden="1" outlineLevel="1">
      <c r="A1363" s="271" t="s">
        <v>1201</v>
      </c>
      <c r="B1363" s="1346" t="s">
        <v>606</v>
      </c>
      <c r="C1363" s="1332">
        <v>892</v>
      </c>
      <c r="D1363" s="1313" t="s">
        <v>427</v>
      </c>
      <c r="E1363" s="1347" t="s">
        <v>349</v>
      </c>
      <c r="F1363" s="1313" t="s">
        <v>429</v>
      </c>
      <c r="G1363" s="1349">
        <v>9.3490000000000004E-2</v>
      </c>
      <c r="H1363" s="222">
        <f t="shared" si="624"/>
        <v>6506.6762427920512</v>
      </c>
      <c r="I1363" s="1491">
        <f t="shared" si="618"/>
        <v>6506.6762427920512</v>
      </c>
      <c r="J1363" s="1491"/>
      <c r="K1363" s="1491"/>
      <c r="L1363" s="1347" t="s">
        <v>349</v>
      </c>
      <c r="M1363" s="223">
        <f t="shared" si="629"/>
        <v>608.3091619386289</v>
      </c>
      <c r="N1363" s="224">
        <f t="shared" si="626"/>
        <v>608.3091619386289</v>
      </c>
      <c r="O1363" s="224">
        <f t="shared" si="627"/>
        <v>0</v>
      </c>
      <c r="P1363" s="224">
        <f t="shared" si="628"/>
        <v>0</v>
      </c>
      <c r="Q1363" s="208"/>
    </row>
    <row r="1364" spans="1:17" hidden="1" outlineLevel="1">
      <c r="A1364" s="271" t="s">
        <v>1201</v>
      </c>
      <c r="B1364" s="1346" t="s">
        <v>1302</v>
      </c>
      <c r="C1364" s="1332">
        <v>708</v>
      </c>
      <c r="D1364" s="1313" t="s">
        <v>427</v>
      </c>
      <c r="E1364" s="1347" t="s">
        <v>349</v>
      </c>
      <c r="F1364" s="1313" t="s">
        <v>430</v>
      </c>
      <c r="G1364" s="1349">
        <v>9.9339999999999998E-2</v>
      </c>
      <c r="H1364" s="222">
        <f t="shared" ref="H1364:H1429" si="630">SUM(I1364:K1364)</f>
        <v>0</v>
      </c>
      <c r="I1364" s="1491">
        <f t="shared" si="618"/>
        <v>0</v>
      </c>
      <c r="J1364" s="1491"/>
      <c r="K1364" s="1491"/>
      <c r="L1364" s="1347" t="s">
        <v>349</v>
      </c>
      <c r="M1364" s="223">
        <f t="shared" ref="M1364:M1429" si="631">SUM(N1364:P1364)</f>
        <v>0</v>
      </c>
      <c r="N1364" s="224">
        <f t="shared" si="626"/>
        <v>0</v>
      </c>
      <c r="O1364" s="224">
        <f t="shared" si="627"/>
        <v>0</v>
      </c>
      <c r="P1364" s="224">
        <f t="shared" si="628"/>
        <v>0</v>
      </c>
      <c r="Q1364" s="208"/>
    </row>
    <row r="1365" spans="1:17" hidden="1" outlineLevel="1">
      <c r="A1365" s="271" t="s">
        <v>1201</v>
      </c>
      <c r="B1365" s="1346" t="s">
        <v>414</v>
      </c>
      <c r="C1365" s="1332">
        <v>16757</v>
      </c>
      <c r="D1365" s="1313" t="s">
        <v>427</v>
      </c>
      <c r="E1365" s="1347" t="s">
        <v>349</v>
      </c>
      <c r="F1365" s="1313" t="s">
        <v>429</v>
      </c>
      <c r="G1365" s="1349">
        <v>9.3490000000000004E-2</v>
      </c>
      <c r="H1365" s="222">
        <f t="shared" si="630"/>
        <v>916.22172393886228</v>
      </c>
      <c r="I1365" s="1491">
        <f t="shared" si="618"/>
        <v>916.22172393886228</v>
      </c>
      <c r="J1365" s="1491"/>
      <c r="K1365" s="1491"/>
      <c r="L1365" s="1347" t="s">
        <v>349</v>
      </c>
      <c r="M1365" s="223">
        <f t="shared" si="631"/>
        <v>85.657568971044242</v>
      </c>
      <c r="N1365" s="224">
        <f t="shared" si="626"/>
        <v>85.657568971044242</v>
      </c>
      <c r="O1365" s="224">
        <f t="shared" si="627"/>
        <v>0</v>
      </c>
      <c r="P1365" s="224">
        <f t="shared" si="628"/>
        <v>0</v>
      </c>
      <c r="Q1365" s="208"/>
    </row>
    <row r="1366" spans="1:17" hidden="1" outlineLevel="1">
      <c r="A1366" s="271" t="s">
        <v>1201</v>
      </c>
      <c r="B1366" s="1346" t="s">
        <v>596</v>
      </c>
      <c r="C1366" s="1332">
        <v>878</v>
      </c>
      <c r="D1366" s="1313" t="s">
        <v>427</v>
      </c>
      <c r="E1366" s="1347" t="s">
        <v>349</v>
      </c>
      <c r="F1366" s="1313" t="s">
        <v>429</v>
      </c>
      <c r="G1366" s="1349">
        <v>9.3490000000000004E-2</v>
      </c>
      <c r="H1366" s="222">
        <f t="shared" si="630"/>
        <v>9755.0076881009791</v>
      </c>
      <c r="I1366" s="1491">
        <f t="shared" si="618"/>
        <v>9755.0076881009791</v>
      </c>
      <c r="J1366" s="1491"/>
      <c r="K1366" s="1491"/>
      <c r="L1366" s="1347" t="s">
        <v>349</v>
      </c>
      <c r="M1366" s="223">
        <f t="shared" si="631"/>
        <v>911.99566876056053</v>
      </c>
      <c r="N1366" s="224">
        <f t="shared" si="626"/>
        <v>911.99566876056053</v>
      </c>
      <c r="O1366" s="224">
        <f t="shared" si="627"/>
        <v>0</v>
      </c>
      <c r="P1366" s="224">
        <f t="shared" si="628"/>
        <v>0</v>
      </c>
      <c r="Q1366" s="208"/>
    </row>
    <row r="1367" spans="1:17" hidden="1" outlineLevel="1">
      <c r="A1367" s="271" t="s">
        <v>1201</v>
      </c>
      <c r="B1367" s="1346" t="s">
        <v>597</v>
      </c>
      <c r="C1367" s="1332">
        <v>879</v>
      </c>
      <c r="D1367" s="1313" t="s">
        <v>427</v>
      </c>
      <c r="E1367" s="1347" t="s">
        <v>349</v>
      </c>
      <c r="F1367" s="1313" t="s">
        <v>429</v>
      </c>
      <c r="G1367" s="1349">
        <v>9.3490000000000004E-2</v>
      </c>
      <c r="H1367" s="222">
        <f t="shared" si="630"/>
        <v>5344.1260553679867</v>
      </c>
      <c r="I1367" s="1491">
        <f t="shared" si="618"/>
        <v>5344.1260553679867</v>
      </c>
      <c r="J1367" s="1491"/>
      <c r="K1367" s="1491"/>
      <c r="L1367" s="1347" t="s">
        <v>349</v>
      </c>
      <c r="M1367" s="223">
        <f t="shared" si="631"/>
        <v>499.62234491635309</v>
      </c>
      <c r="N1367" s="224">
        <f t="shared" si="626"/>
        <v>499.62234491635309</v>
      </c>
      <c r="O1367" s="224">
        <f t="shared" si="627"/>
        <v>0</v>
      </c>
      <c r="P1367" s="224">
        <f t="shared" si="628"/>
        <v>0</v>
      </c>
      <c r="Q1367" s="208"/>
    </row>
    <row r="1368" spans="1:17" hidden="1" outlineLevel="1">
      <c r="A1368" s="271" t="s">
        <v>1201</v>
      </c>
      <c r="B1368" s="1346" t="s">
        <v>598</v>
      </c>
      <c r="C1368" s="1332">
        <v>880</v>
      </c>
      <c r="D1368" s="1313" t="s">
        <v>427</v>
      </c>
      <c r="E1368" s="1347" t="s">
        <v>349</v>
      </c>
      <c r="F1368" s="1313" t="s">
        <v>429</v>
      </c>
      <c r="G1368" s="1349">
        <v>9.3490000000000004E-2</v>
      </c>
      <c r="H1368" s="222">
        <f t="shared" si="630"/>
        <v>2013.685122230658</v>
      </c>
      <c r="I1368" s="1491">
        <f t="shared" si="618"/>
        <v>2013.685122230658</v>
      </c>
      <c r="J1368" s="1491"/>
      <c r="K1368" s="1491"/>
      <c r="L1368" s="1347" t="s">
        <v>349</v>
      </c>
      <c r="M1368" s="223">
        <f t="shared" si="631"/>
        <v>188.25942207734423</v>
      </c>
      <c r="N1368" s="224">
        <f t="shared" si="626"/>
        <v>188.25942207734423</v>
      </c>
      <c r="O1368" s="224">
        <f t="shared" si="627"/>
        <v>0</v>
      </c>
      <c r="P1368" s="224">
        <f t="shared" si="628"/>
        <v>0</v>
      </c>
      <c r="Q1368" s="208"/>
    </row>
    <row r="1369" spans="1:17" hidden="1" outlineLevel="1">
      <c r="A1369" s="271" t="s">
        <v>1201</v>
      </c>
      <c r="B1369" s="1346" t="s">
        <v>599</v>
      </c>
      <c r="C1369" s="1332">
        <v>4650</v>
      </c>
      <c r="D1369" s="1313" t="s">
        <v>427</v>
      </c>
      <c r="E1369" s="1347" t="s">
        <v>349</v>
      </c>
      <c r="F1369" s="1313" t="s">
        <v>429</v>
      </c>
      <c r="G1369" s="1349">
        <v>9.3490000000000004E-2</v>
      </c>
      <c r="H1369" s="222">
        <f t="shared" si="630"/>
        <v>9007.010280688597</v>
      </c>
      <c r="I1369" s="1491">
        <f t="shared" si="618"/>
        <v>9007.010280688597</v>
      </c>
      <c r="J1369" s="1491"/>
      <c r="K1369" s="1491"/>
      <c r="L1369" s="1347" t="s">
        <v>349</v>
      </c>
      <c r="M1369" s="223">
        <f t="shared" si="631"/>
        <v>842.06539114157692</v>
      </c>
      <c r="N1369" s="224">
        <f t="shared" si="626"/>
        <v>842.06539114157692</v>
      </c>
      <c r="O1369" s="224">
        <f t="shared" si="627"/>
        <v>0</v>
      </c>
      <c r="P1369" s="224">
        <f t="shared" si="628"/>
        <v>0</v>
      </c>
      <c r="Q1369" s="208"/>
    </row>
    <row r="1370" spans="1:17" hidden="1" outlineLevel="1">
      <c r="A1370" s="271" t="s">
        <v>1201</v>
      </c>
      <c r="B1370" s="1346" t="s">
        <v>1303</v>
      </c>
      <c r="C1370" s="1332">
        <v>14114</v>
      </c>
      <c r="D1370" s="1313" t="s">
        <v>427</v>
      </c>
      <c r="E1370" s="1347" t="s">
        <v>349</v>
      </c>
      <c r="F1370" s="1313" t="s">
        <v>430</v>
      </c>
      <c r="G1370" s="1349">
        <v>9.9339999999999998E-2</v>
      </c>
      <c r="H1370" s="222">
        <f t="shared" si="630"/>
        <v>4560.0805801285014</v>
      </c>
      <c r="I1370" s="1491">
        <f t="shared" si="618"/>
        <v>4560.0805801285014</v>
      </c>
      <c r="J1370" s="1491"/>
      <c r="K1370" s="1491"/>
      <c r="L1370" s="1347" t="s">
        <v>349</v>
      </c>
      <c r="M1370" s="223">
        <f t="shared" si="631"/>
        <v>452.9984048299653</v>
      </c>
      <c r="N1370" s="224">
        <f t="shared" si="626"/>
        <v>452.9984048299653</v>
      </c>
      <c r="O1370" s="224">
        <f t="shared" si="627"/>
        <v>0</v>
      </c>
      <c r="P1370" s="224">
        <f t="shared" si="628"/>
        <v>0</v>
      </c>
      <c r="Q1370" s="208"/>
    </row>
    <row r="1371" spans="1:17" hidden="1" outlineLevel="1">
      <c r="A1371" s="271" t="s">
        <v>1201</v>
      </c>
      <c r="B1371" s="1346" t="s">
        <v>1303</v>
      </c>
      <c r="C1371" s="1332">
        <v>14114</v>
      </c>
      <c r="D1371" s="1313" t="s">
        <v>427</v>
      </c>
      <c r="E1371" s="1347" t="s">
        <v>349</v>
      </c>
      <c r="F1371" s="1313" t="s">
        <v>430</v>
      </c>
      <c r="G1371" s="1349">
        <v>0.18418000000000001</v>
      </c>
      <c r="H1371" s="222">
        <f t="shared" si="630"/>
        <v>4560.0805801285014</v>
      </c>
      <c r="I1371" s="1491">
        <f t="shared" si="618"/>
        <v>4560.0805801285014</v>
      </c>
      <c r="J1371" s="1491"/>
      <c r="K1371" s="1491"/>
      <c r="L1371" s="1347" t="s">
        <v>349</v>
      </c>
      <c r="M1371" s="223">
        <f t="shared" si="631"/>
        <v>839.8756412480675</v>
      </c>
      <c r="N1371" s="224">
        <f t="shared" si="626"/>
        <v>839.8756412480675</v>
      </c>
      <c r="O1371" s="224">
        <f t="shared" si="627"/>
        <v>0</v>
      </c>
      <c r="P1371" s="224">
        <f t="shared" si="628"/>
        <v>0</v>
      </c>
      <c r="Q1371" s="208"/>
    </row>
    <row r="1372" spans="1:17" hidden="1" outlineLevel="1">
      <c r="A1372" s="271" t="s">
        <v>1201</v>
      </c>
      <c r="B1372" s="1346" t="s">
        <v>600</v>
      </c>
      <c r="C1372" s="1332">
        <v>969</v>
      </c>
      <c r="D1372" s="1313" t="s">
        <v>427</v>
      </c>
      <c r="E1372" s="1347" t="s">
        <v>349</v>
      </c>
      <c r="F1372" s="1313" t="s">
        <v>429</v>
      </c>
      <c r="G1372" s="1349">
        <v>9.3490000000000004E-2</v>
      </c>
      <c r="H1372" s="222">
        <f t="shared" si="630"/>
        <v>8508.3453424136751</v>
      </c>
      <c r="I1372" s="1491">
        <f t="shared" si="618"/>
        <v>8508.3453424136751</v>
      </c>
      <c r="J1372" s="1491"/>
      <c r="K1372" s="1491"/>
      <c r="L1372" s="1347" t="s">
        <v>349</v>
      </c>
      <c r="M1372" s="223">
        <f t="shared" si="631"/>
        <v>795.44520606225456</v>
      </c>
      <c r="N1372" s="224">
        <f t="shared" si="626"/>
        <v>795.44520606225456</v>
      </c>
      <c r="O1372" s="224">
        <f t="shared" si="627"/>
        <v>0</v>
      </c>
      <c r="P1372" s="224">
        <f t="shared" si="628"/>
        <v>0</v>
      </c>
      <c r="Q1372" s="208"/>
    </row>
    <row r="1373" spans="1:17" hidden="1" outlineLevel="1">
      <c r="A1373" s="271" t="s">
        <v>1201</v>
      </c>
      <c r="B1373" s="1346" t="s">
        <v>601</v>
      </c>
      <c r="C1373" s="1332">
        <v>1003</v>
      </c>
      <c r="D1373" s="1313" t="s">
        <v>427</v>
      </c>
      <c r="E1373" s="1347" t="s">
        <v>349</v>
      </c>
      <c r="F1373" s="1313" t="s">
        <v>430</v>
      </c>
      <c r="G1373" s="1349">
        <v>9.9339999999999998E-2</v>
      </c>
      <c r="H1373" s="222">
        <f t="shared" si="630"/>
        <v>5079.7735579692326</v>
      </c>
      <c r="I1373" s="1491">
        <f t="shared" si="618"/>
        <v>5079.7735579692326</v>
      </c>
      <c r="J1373" s="1491"/>
      <c r="K1373" s="1491"/>
      <c r="L1373" s="1347" t="s">
        <v>349</v>
      </c>
      <c r="M1373" s="223">
        <f t="shared" si="631"/>
        <v>504.62470524866353</v>
      </c>
      <c r="N1373" s="224">
        <f t="shared" si="626"/>
        <v>504.62470524866353</v>
      </c>
      <c r="O1373" s="224">
        <f t="shared" si="627"/>
        <v>0</v>
      </c>
      <c r="P1373" s="224">
        <f t="shared" si="628"/>
        <v>0</v>
      </c>
      <c r="Q1373" s="208"/>
    </row>
    <row r="1374" spans="1:17" hidden="1" outlineLevel="1">
      <c r="A1374" s="271" t="s">
        <v>1201</v>
      </c>
      <c r="B1374" s="1346" t="s">
        <v>416</v>
      </c>
      <c r="C1374" s="1332">
        <v>881</v>
      </c>
      <c r="D1374" s="1313" t="s">
        <v>427</v>
      </c>
      <c r="E1374" s="1347" t="s">
        <v>349</v>
      </c>
      <c r="F1374" s="1313" t="s">
        <v>429</v>
      </c>
      <c r="G1374" s="1349">
        <v>9.3490000000000004E-2</v>
      </c>
      <c r="H1374" s="222">
        <f t="shared" si="630"/>
        <v>505.67428479685839</v>
      </c>
      <c r="I1374" s="1491">
        <f t="shared" si="618"/>
        <v>505.67428479685839</v>
      </c>
      <c r="J1374" s="1491"/>
      <c r="K1374" s="1491"/>
      <c r="L1374" s="1347" t="s">
        <v>349</v>
      </c>
      <c r="M1374" s="223">
        <f t="shared" si="631"/>
        <v>47.275488885658291</v>
      </c>
      <c r="N1374" s="224">
        <f t="shared" si="626"/>
        <v>47.275488885658291</v>
      </c>
      <c r="O1374" s="224">
        <f t="shared" si="627"/>
        <v>0</v>
      </c>
      <c r="P1374" s="224">
        <f t="shared" si="628"/>
        <v>0</v>
      </c>
      <c r="Q1374" s="208"/>
    </row>
    <row r="1375" spans="1:17" hidden="1" outlineLevel="1">
      <c r="A1375" s="271" t="s">
        <v>1201</v>
      </c>
      <c r="B1375" s="1346" t="s">
        <v>417</v>
      </c>
      <c r="C1375" s="1332">
        <v>832</v>
      </c>
      <c r="D1375" s="1313" t="s">
        <v>427</v>
      </c>
      <c r="E1375" s="1347" t="s">
        <v>349</v>
      </c>
      <c r="F1375" s="1313" t="s">
        <v>429</v>
      </c>
      <c r="G1375" s="1349">
        <v>9.3490000000000004E-2</v>
      </c>
      <c r="H1375" s="222">
        <f t="shared" si="630"/>
        <v>222.29641826713379</v>
      </c>
      <c r="I1375" s="1491">
        <f t="shared" si="618"/>
        <v>222.29641826713379</v>
      </c>
      <c r="J1375" s="1491"/>
      <c r="K1375" s="1491"/>
      <c r="L1375" s="1347" t="s">
        <v>349</v>
      </c>
      <c r="M1375" s="223">
        <f t="shared" si="631"/>
        <v>20.78249214379434</v>
      </c>
      <c r="N1375" s="224">
        <f t="shared" si="626"/>
        <v>20.78249214379434</v>
      </c>
      <c r="O1375" s="224">
        <f t="shared" si="627"/>
        <v>0</v>
      </c>
      <c r="P1375" s="224">
        <f t="shared" si="628"/>
        <v>0</v>
      </c>
      <c r="Q1375" s="208"/>
    </row>
    <row r="1376" spans="1:17" hidden="1" outlineLevel="1">
      <c r="A1376" s="271" t="s">
        <v>1201</v>
      </c>
      <c r="B1376" s="1346" t="s">
        <v>418</v>
      </c>
      <c r="C1376" s="1332">
        <v>1138</v>
      </c>
      <c r="D1376" s="1313" t="s">
        <v>427</v>
      </c>
      <c r="E1376" s="1347" t="s">
        <v>349</v>
      </c>
      <c r="F1376" s="1313" t="s">
        <v>430</v>
      </c>
      <c r="G1376" s="1349">
        <v>9.9339999999999998E-2</v>
      </c>
      <c r="H1376" s="222">
        <f t="shared" si="630"/>
        <v>5543.3917636344713</v>
      </c>
      <c r="I1376" s="1491">
        <f t="shared" si="618"/>
        <v>5543.3917636344713</v>
      </c>
      <c r="J1376" s="1491"/>
      <c r="K1376" s="1491"/>
      <c r="L1376" s="1347" t="s">
        <v>349</v>
      </c>
      <c r="M1376" s="223">
        <f t="shared" si="631"/>
        <v>550.68053779944842</v>
      </c>
      <c r="N1376" s="224">
        <f t="shared" si="626"/>
        <v>550.68053779944842</v>
      </c>
      <c r="O1376" s="224">
        <f t="shared" si="627"/>
        <v>0</v>
      </c>
      <c r="P1376" s="224">
        <f t="shared" si="628"/>
        <v>0</v>
      </c>
      <c r="Q1376" s="208"/>
    </row>
    <row r="1377" spans="1:18" hidden="1" outlineLevel="1">
      <c r="A1377" s="271" t="s">
        <v>1201</v>
      </c>
      <c r="B1377" s="1346" t="s">
        <v>419</v>
      </c>
      <c r="C1377" s="1332">
        <v>1010</v>
      </c>
      <c r="D1377" s="1313" t="s">
        <v>427</v>
      </c>
      <c r="E1377" s="1347" t="s">
        <v>349</v>
      </c>
      <c r="F1377" s="1313" t="s">
        <v>430</v>
      </c>
      <c r="G1377" s="1349">
        <v>9.9339999999999998E-2</v>
      </c>
      <c r="H1377" s="222">
        <f t="shared" si="630"/>
        <v>42.05607913161991</v>
      </c>
      <c r="I1377" s="1491">
        <f t="shared" si="618"/>
        <v>42.05607913161991</v>
      </c>
      <c r="J1377" s="1491"/>
      <c r="K1377" s="1491"/>
      <c r="L1377" s="1347" t="s">
        <v>349</v>
      </c>
      <c r="M1377" s="223">
        <f t="shared" si="631"/>
        <v>4.1778509009351215</v>
      </c>
      <c r="N1377" s="224">
        <f t="shared" si="626"/>
        <v>4.1778509009351215</v>
      </c>
      <c r="O1377" s="224">
        <f t="shared" si="627"/>
        <v>0</v>
      </c>
      <c r="P1377" s="224">
        <f t="shared" si="628"/>
        <v>0</v>
      </c>
      <c r="Q1377" s="208"/>
    </row>
    <row r="1378" spans="1:18" hidden="1" outlineLevel="1">
      <c r="A1378" s="271" t="s">
        <v>1201</v>
      </c>
      <c r="B1378" s="1346" t="s">
        <v>420</v>
      </c>
      <c r="C1378" s="1332">
        <v>16476</v>
      </c>
      <c r="D1378" s="1313" t="s">
        <v>427</v>
      </c>
      <c r="E1378" s="1347" t="s">
        <v>349</v>
      </c>
      <c r="F1378" s="1313" t="s">
        <v>430</v>
      </c>
      <c r="G1378" s="1349">
        <v>9.9339999999999998E-2</v>
      </c>
      <c r="H1378" s="222">
        <f t="shared" si="630"/>
        <v>429.57280827297478</v>
      </c>
      <c r="I1378" s="1491">
        <f t="shared" si="618"/>
        <v>429.57280827297478</v>
      </c>
      <c r="J1378" s="1491"/>
      <c r="K1378" s="1491"/>
      <c r="L1378" s="1347" t="s">
        <v>349</v>
      </c>
      <c r="M1378" s="223">
        <f t="shared" si="631"/>
        <v>42.673762773837311</v>
      </c>
      <c r="N1378" s="224">
        <f t="shared" si="626"/>
        <v>42.673762773837311</v>
      </c>
      <c r="O1378" s="224">
        <f t="shared" si="627"/>
        <v>0</v>
      </c>
      <c r="P1378" s="224">
        <f t="shared" si="628"/>
        <v>0</v>
      </c>
      <c r="Q1378" s="208"/>
    </row>
    <row r="1379" spans="1:18" hidden="1" outlineLevel="1">
      <c r="A1379" s="271" t="s">
        <v>1201</v>
      </c>
      <c r="B1379" s="1346" t="s">
        <v>602</v>
      </c>
      <c r="C1379" s="1332">
        <v>965</v>
      </c>
      <c r="D1379" s="1313" t="s">
        <v>427</v>
      </c>
      <c r="E1379" s="1347" t="s">
        <v>349</v>
      </c>
      <c r="F1379" s="1313" t="s">
        <v>429</v>
      </c>
      <c r="G1379" s="1349">
        <v>9.3490000000000004E-2</v>
      </c>
      <c r="H1379" s="222">
        <f t="shared" si="630"/>
        <v>1386.8492761260375</v>
      </c>
      <c r="I1379" s="1491">
        <f t="shared" si="618"/>
        <v>1386.8492761260375</v>
      </c>
      <c r="J1379" s="1491"/>
      <c r="K1379" s="1491"/>
      <c r="L1379" s="1347" t="s">
        <v>349</v>
      </c>
      <c r="M1379" s="223">
        <f t="shared" si="631"/>
        <v>129.65653882502326</v>
      </c>
      <c r="N1379" s="224">
        <f t="shared" si="626"/>
        <v>129.65653882502326</v>
      </c>
      <c r="O1379" s="224">
        <f t="shared" si="627"/>
        <v>0</v>
      </c>
      <c r="P1379" s="224">
        <f t="shared" si="628"/>
        <v>0</v>
      </c>
      <c r="Q1379" s="208"/>
    </row>
    <row r="1380" spans="1:18" hidden="1" outlineLevel="1">
      <c r="A1380" s="271" t="s">
        <v>1201</v>
      </c>
      <c r="B1380" s="1346" t="s">
        <v>603</v>
      </c>
      <c r="C1380" s="1332">
        <v>968</v>
      </c>
      <c r="D1380" s="1313" t="s">
        <v>427</v>
      </c>
      <c r="E1380" s="1347" t="s">
        <v>349</v>
      </c>
      <c r="F1380" s="1313" t="s">
        <v>429</v>
      </c>
      <c r="G1380" s="1349">
        <v>9.3490000000000004E-2</v>
      </c>
      <c r="H1380" s="222">
        <f t="shared" si="630"/>
        <v>1300.7344474279585</v>
      </c>
      <c r="I1380" s="1491">
        <f t="shared" si="618"/>
        <v>1300.7344474279585</v>
      </c>
      <c r="J1380" s="1491"/>
      <c r="K1380" s="1491"/>
      <c r="L1380" s="1347" t="s">
        <v>349</v>
      </c>
      <c r="M1380" s="223">
        <f t="shared" si="631"/>
        <v>121.60566349003984</v>
      </c>
      <c r="N1380" s="224">
        <f t="shared" si="626"/>
        <v>121.60566349003984</v>
      </c>
      <c r="O1380" s="224">
        <f t="shared" si="627"/>
        <v>0</v>
      </c>
      <c r="P1380" s="224">
        <f t="shared" si="628"/>
        <v>0</v>
      </c>
      <c r="Q1380" s="208"/>
    </row>
    <row r="1381" spans="1:18" hidden="1" outlineLevel="1">
      <c r="A1381" s="271" t="s">
        <v>1201</v>
      </c>
      <c r="B1381" s="1346" t="s">
        <v>421</v>
      </c>
      <c r="C1381" s="1332">
        <v>964</v>
      </c>
      <c r="D1381" s="1313" t="s">
        <v>427</v>
      </c>
      <c r="E1381" s="1347" t="s">
        <v>349</v>
      </c>
      <c r="F1381" s="1313" t="s">
        <v>429</v>
      </c>
      <c r="G1381" s="1349">
        <v>9.3490000000000004E-2</v>
      </c>
      <c r="H1381" s="222">
        <f t="shared" si="630"/>
        <v>193.25769696196767</v>
      </c>
      <c r="I1381" s="1491">
        <f t="shared" si="618"/>
        <v>193.25769696196767</v>
      </c>
      <c r="J1381" s="1491"/>
      <c r="K1381" s="1491"/>
      <c r="L1381" s="1347" t="s">
        <v>349</v>
      </c>
      <c r="M1381" s="223">
        <f t="shared" si="631"/>
        <v>18.067662088974359</v>
      </c>
      <c r="N1381" s="224">
        <f t="shared" si="626"/>
        <v>18.067662088974359</v>
      </c>
      <c r="O1381" s="224">
        <f t="shared" si="627"/>
        <v>0</v>
      </c>
      <c r="P1381" s="224">
        <f t="shared" si="628"/>
        <v>0</v>
      </c>
      <c r="Q1381" s="208"/>
    </row>
    <row r="1382" spans="1:18" hidden="1" outlineLevel="1">
      <c r="A1382" s="271" t="s">
        <v>1201</v>
      </c>
      <c r="B1382" s="1346" t="s">
        <v>422</v>
      </c>
      <c r="C1382" s="1332">
        <v>16477</v>
      </c>
      <c r="D1382" s="1313" t="s">
        <v>427</v>
      </c>
      <c r="E1382" s="1347" t="s">
        <v>349</v>
      </c>
      <c r="F1382" s="1313" t="s">
        <v>430</v>
      </c>
      <c r="G1382" s="1349">
        <v>9.9339999999999998E-2</v>
      </c>
      <c r="H1382" s="222">
        <f t="shared" si="630"/>
        <v>71.094800436786031</v>
      </c>
      <c r="I1382" s="1491">
        <f t="shared" si="618"/>
        <v>71.094800436786031</v>
      </c>
      <c r="J1382" s="1491"/>
      <c r="K1382" s="1491"/>
      <c r="L1382" s="1347" t="s">
        <v>349</v>
      </c>
      <c r="M1382" s="223">
        <f t="shared" si="631"/>
        <v>7.0625574753903244</v>
      </c>
      <c r="N1382" s="224">
        <f t="shared" si="626"/>
        <v>7.0625574753903244</v>
      </c>
      <c r="O1382" s="224">
        <f t="shared" si="627"/>
        <v>0</v>
      </c>
      <c r="P1382" s="224">
        <f t="shared" si="628"/>
        <v>0</v>
      </c>
      <c r="Q1382" s="208"/>
    </row>
    <row r="1383" spans="1:18" hidden="1" outlineLevel="1">
      <c r="A1383" s="271" t="s">
        <v>1201</v>
      </c>
      <c r="B1383" s="1346" t="s">
        <v>423</v>
      </c>
      <c r="C1383" s="1332">
        <v>703</v>
      </c>
      <c r="D1383" s="1313" t="s">
        <v>427</v>
      </c>
      <c r="E1383" s="1347" t="s">
        <v>349</v>
      </c>
      <c r="F1383" s="1313" t="s">
        <v>430</v>
      </c>
      <c r="G1383" s="1349">
        <v>9.9339999999999998E-2</v>
      </c>
      <c r="H1383" s="222">
        <f t="shared" si="630"/>
        <v>1902.536913097091</v>
      </c>
      <c r="I1383" s="1491">
        <f t="shared" si="618"/>
        <v>1902.536913097091</v>
      </c>
      <c r="J1383" s="1491"/>
      <c r="K1383" s="1491"/>
      <c r="L1383" s="1347" t="s">
        <v>349</v>
      </c>
      <c r="M1383" s="223">
        <f t="shared" si="631"/>
        <v>188.99801694706503</v>
      </c>
      <c r="N1383" s="224">
        <f t="shared" si="626"/>
        <v>188.99801694706503</v>
      </c>
      <c r="O1383" s="224">
        <f t="shared" si="627"/>
        <v>0</v>
      </c>
      <c r="P1383" s="224">
        <f t="shared" si="628"/>
        <v>0</v>
      </c>
      <c r="Q1383" s="208"/>
    </row>
    <row r="1384" spans="1:18" hidden="1" outlineLevel="1">
      <c r="A1384" s="271" t="s">
        <v>1201</v>
      </c>
      <c r="B1384" s="1346" t="s">
        <v>604</v>
      </c>
      <c r="C1384" s="1332">
        <v>707</v>
      </c>
      <c r="D1384" s="1313" t="s">
        <v>427</v>
      </c>
      <c r="E1384" s="1347" t="s">
        <v>349</v>
      </c>
      <c r="F1384" s="1313" t="s">
        <v>430</v>
      </c>
      <c r="G1384" s="1349">
        <v>9.9339999999999998E-2</v>
      </c>
      <c r="H1384" s="222">
        <f t="shared" si="630"/>
        <v>8285.047588929121</v>
      </c>
      <c r="I1384" s="1491">
        <f t="shared" si="618"/>
        <v>8285.047588929121</v>
      </c>
      <c r="J1384" s="1491"/>
      <c r="K1384" s="1491"/>
      <c r="L1384" s="1347" t="s">
        <v>349</v>
      </c>
      <c r="M1384" s="223">
        <f t="shared" si="631"/>
        <v>823.03662748421891</v>
      </c>
      <c r="N1384" s="224">
        <f t="shared" si="626"/>
        <v>823.03662748421891</v>
      </c>
      <c r="O1384" s="224">
        <f t="shared" si="627"/>
        <v>0</v>
      </c>
      <c r="P1384" s="224">
        <f t="shared" si="628"/>
        <v>0</v>
      </c>
      <c r="Q1384" s="208"/>
    </row>
    <row r="1385" spans="1:18" hidden="1" outlineLevel="1">
      <c r="A1385" s="271" t="s">
        <v>1201</v>
      </c>
      <c r="B1385" s="1356" t="s">
        <v>466</v>
      </c>
      <c r="C1385" s="1334">
        <v>15025</v>
      </c>
      <c r="D1385" s="1317" t="s">
        <v>427</v>
      </c>
      <c r="E1385" s="1357" t="s">
        <v>349</v>
      </c>
      <c r="F1385" s="1317" t="s">
        <v>430</v>
      </c>
      <c r="G1385" s="1348">
        <v>9.9339999999999998E-2</v>
      </c>
      <c r="H1385" s="272">
        <f t="shared" si="630"/>
        <v>810.08019089239292</v>
      </c>
      <c r="I1385" s="1491">
        <f t="shared" si="618"/>
        <v>810.08019089239292</v>
      </c>
      <c r="J1385" s="1491"/>
      <c r="K1385" s="1491"/>
      <c r="L1385" s="1347" t="s">
        <v>349</v>
      </c>
      <c r="M1385" s="223">
        <f t="shared" si="631"/>
        <v>80.473366163250304</v>
      </c>
      <c r="N1385" s="224">
        <f t="shared" si="626"/>
        <v>80.473366163250304</v>
      </c>
      <c r="O1385" s="224">
        <f t="shared" si="627"/>
        <v>0</v>
      </c>
      <c r="P1385" s="224">
        <f t="shared" si="628"/>
        <v>0</v>
      </c>
      <c r="Q1385" s="208"/>
    </row>
    <row r="1386" spans="1:18" hidden="1" outlineLevel="1">
      <c r="A1386" s="271" t="s">
        <v>1201</v>
      </c>
      <c r="B1386" s="1346" t="s">
        <v>659</v>
      </c>
      <c r="C1386" s="1332">
        <v>51778</v>
      </c>
      <c r="D1386" s="1313" t="s">
        <v>427</v>
      </c>
      <c r="E1386" s="1347" t="s">
        <v>349</v>
      </c>
      <c r="F1386" s="1313" t="s">
        <v>430</v>
      </c>
      <c r="G1386" s="1349">
        <v>9.9339999999999998E-2</v>
      </c>
      <c r="H1386" s="272">
        <f t="shared" si="630"/>
        <v>516.68897218847314</v>
      </c>
      <c r="I1386" s="1491">
        <f t="shared" si="618"/>
        <v>516.68897218847314</v>
      </c>
      <c r="J1386" s="1491"/>
      <c r="K1386" s="1491"/>
      <c r="L1386" s="1347" t="s">
        <v>349</v>
      </c>
      <c r="M1386" s="223">
        <f t="shared" si="631"/>
        <v>51.327882497202921</v>
      </c>
      <c r="N1386" s="224">
        <f t="shared" si="626"/>
        <v>51.327882497202921</v>
      </c>
      <c r="O1386" s="224">
        <f t="shared" si="627"/>
        <v>0</v>
      </c>
      <c r="P1386" s="224">
        <f t="shared" si="628"/>
        <v>0</v>
      </c>
      <c r="Q1386" s="208"/>
    </row>
    <row r="1387" spans="1:18" hidden="1" outlineLevel="1">
      <c r="A1387" s="225" t="s">
        <v>1201</v>
      </c>
      <c r="B1387" s="1350" t="s">
        <v>461</v>
      </c>
      <c r="C1387" s="1336">
        <v>60447</v>
      </c>
      <c r="D1387" s="1321" t="s">
        <v>427</v>
      </c>
      <c r="E1387" s="1351" t="s">
        <v>349</v>
      </c>
      <c r="F1387" s="1321" t="s">
        <v>430</v>
      </c>
      <c r="G1387" s="1352">
        <v>9.9339999999999998E-2</v>
      </c>
      <c r="H1387" s="226">
        <f t="shared" si="630"/>
        <v>28607.145826458313</v>
      </c>
      <c r="I1387" s="1493">
        <f t="shared" ref="I1387:I1418" si="632">I1085*(100%+$I$1354)</f>
        <v>28607.145826458313</v>
      </c>
      <c r="J1387" s="1493"/>
      <c r="K1387" s="1493"/>
      <c r="L1387" s="1351" t="s">
        <v>349</v>
      </c>
      <c r="M1387" s="227">
        <f t="shared" si="631"/>
        <v>2841.8338664003686</v>
      </c>
      <c r="N1387" s="228">
        <f t="shared" si="626"/>
        <v>2841.8338664003686</v>
      </c>
      <c r="O1387" s="228">
        <f t="shared" si="627"/>
        <v>0</v>
      </c>
      <c r="P1387" s="228">
        <f t="shared" si="628"/>
        <v>0</v>
      </c>
      <c r="Q1387" s="229"/>
      <c r="R1387" s="512">
        <f>SUM(M1355:M1387)</f>
        <v>11630.047835994206</v>
      </c>
    </row>
    <row r="1388" spans="1:18" hidden="1" outlineLevel="1">
      <c r="A1388" s="775" t="s">
        <v>1201</v>
      </c>
      <c r="B1388" s="1343" t="s">
        <v>408</v>
      </c>
      <c r="C1388" s="1330">
        <v>841</v>
      </c>
      <c r="D1388" s="1309" t="s">
        <v>431</v>
      </c>
      <c r="E1388" s="1344" t="s">
        <v>349</v>
      </c>
      <c r="F1388" s="1309" t="s">
        <v>429</v>
      </c>
      <c r="G1388" s="1345">
        <v>9.3490000000000004E-2</v>
      </c>
      <c r="H1388" s="222">
        <f t="shared" si="630"/>
        <v>232.30977044132902</v>
      </c>
      <c r="I1388" s="1491">
        <f t="shared" si="632"/>
        <v>232.30977044132902</v>
      </c>
      <c r="J1388" s="1491"/>
      <c r="K1388" s="1491"/>
      <c r="L1388" s="1347" t="s">
        <v>349</v>
      </c>
      <c r="M1388" s="223">
        <f t="shared" si="631"/>
        <v>21.718640438559852</v>
      </c>
      <c r="N1388" s="224">
        <f t="shared" si="626"/>
        <v>21.718640438559852</v>
      </c>
      <c r="O1388" s="224">
        <f t="shared" si="627"/>
        <v>0</v>
      </c>
      <c r="P1388" s="224">
        <f t="shared" si="628"/>
        <v>0</v>
      </c>
      <c r="Q1388" s="205"/>
    </row>
    <row r="1389" spans="1:18" hidden="1" outlineLevel="1">
      <c r="A1389" s="271" t="s">
        <v>1201</v>
      </c>
      <c r="B1389" s="1356" t="s">
        <v>1259</v>
      </c>
      <c r="C1389" s="1332">
        <v>882</v>
      </c>
      <c r="D1389" s="1313" t="s">
        <v>431</v>
      </c>
      <c r="E1389" s="1347" t="s">
        <v>349</v>
      </c>
      <c r="F1389" s="1313" t="s">
        <v>429</v>
      </c>
      <c r="G1389" s="1349">
        <v>9.3490000000000004E-2</v>
      </c>
      <c r="H1389" s="222">
        <f t="shared" ref="H1389" si="633">SUM(I1389:K1389)</f>
        <v>0</v>
      </c>
      <c r="I1389" s="1492">
        <f t="shared" si="632"/>
        <v>0</v>
      </c>
      <c r="J1389" s="1492"/>
      <c r="K1389" s="1492"/>
      <c r="L1389" s="1357" t="s">
        <v>349</v>
      </c>
      <c r="M1389" s="223">
        <f t="shared" ref="M1389" si="634">SUM(N1389:P1389)</f>
        <v>0</v>
      </c>
      <c r="N1389" s="224">
        <f t="shared" si="626"/>
        <v>0</v>
      </c>
      <c r="O1389" s="224">
        <f t="shared" si="627"/>
        <v>0</v>
      </c>
      <c r="P1389" s="224">
        <f t="shared" si="628"/>
        <v>0</v>
      </c>
      <c r="Q1389" s="205"/>
    </row>
    <row r="1390" spans="1:18" hidden="1" outlineLevel="1">
      <c r="A1390" s="271" t="s">
        <v>1201</v>
      </c>
      <c r="B1390" s="1346" t="s">
        <v>409</v>
      </c>
      <c r="C1390" s="1332">
        <v>21717</v>
      </c>
      <c r="D1390" s="1313" t="s">
        <v>431</v>
      </c>
      <c r="E1390" s="1347" t="s">
        <v>349</v>
      </c>
      <c r="F1390" s="1313" t="s">
        <v>429</v>
      </c>
      <c r="G1390" s="1349">
        <v>9.3490000000000004E-2</v>
      </c>
      <c r="H1390" s="222">
        <f t="shared" si="630"/>
        <v>907.20970698208657</v>
      </c>
      <c r="I1390" s="1491">
        <f t="shared" si="632"/>
        <v>907.20970698208657</v>
      </c>
      <c r="J1390" s="1491"/>
      <c r="K1390" s="1491"/>
      <c r="L1390" s="1347" t="s">
        <v>349</v>
      </c>
      <c r="M1390" s="223">
        <f t="shared" si="631"/>
        <v>84.815035505755276</v>
      </c>
      <c r="N1390" s="224">
        <f t="shared" si="626"/>
        <v>84.815035505755276</v>
      </c>
      <c r="O1390" s="224">
        <f t="shared" si="627"/>
        <v>0</v>
      </c>
      <c r="P1390" s="224">
        <f t="shared" si="628"/>
        <v>0</v>
      </c>
      <c r="Q1390" s="205"/>
    </row>
    <row r="1391" spans="1:18" hidden="1" outlineLevel="1">
      <c r="A1391" s="271" t="s">
        <v>1201</v>
      </c>
      <c r="B1391" s="1346" t="s">
        <v>410</v>
      </c>
      <c r="C1391" s="1332">
        <v>749</v>
      </c>
      <c r="D1391" s="1313" t="s">
        <v>431</v>
      </c>
      <c r="E1391" s="1347" t="s">
        <v>349</v>
      </c>
      <c r="F1391" s="1313" t="s">
        <v>430</v>
      </c>
      <c r="G1391" s="1349">
        <v>9.9339999999999998E-2</v>
      </c>
      <c r="H1391" s="222">
        <f t="shared" si="630"/>
        <v>4358.8122014271776</v>
      </c>
      <c r="I1391" s="1491">
        <f t="shared" si="632"/>
        <v>4358.8122014271776</v>
      </c>
      <c r="J1391" s="1491"/>
      <c r="K1391" s="1491"/>
      <c r="L1391" s="1347" t="s">
        <v>349</v>
      </c>
      <c r="M1391" s="223">
        <f t="shared" si="631"/>
        <v>433.00440408977579</v>
      </c>
      <c r="N1391" s="224">
        <f t="shared" si="626"/>
        <v>433.00440408977579</v>
      </c>
      <c r="O1391" s="224">
        <f t="shared" si="627"/>
        <v>0</v>
      </c>
      <c r="P1391" s="224">
        <f t="shared" si="628"/>
        <v>0</v>
      </c>
      <c r="Q1391" s="205"/>
    </row>
    <row r="1392" spans="1:18" hidden="1" outlineLevel="1">
      <c r="A1392" s="271" t="s">
        <v>1201</v>
      </c>
      <c r="B1392" s="1346" t="s">
        <v>411</v>
      </c>
      <c r="C1392" s="1332">
        <v>20044</v>
      </c>
      <c r="D1392" s="1313" t="s">
        <v>431</v>
      </c>
      <c r="E1392" s="1347" t="s">
        <v>349</v>
      </c>
      <c r="F1392" s="1313" t="s">
        <v>430</v>
      </c>
      <c r="G1392" s="1349">
        <v>9.9339999999999998E-2</v>
      </c>
      <c r="H1392" s="222">
        <f t="shared" si="630"/>
        <v>2197.93080223585</v>
      </c>
      <c r="I1392" s="1491">
        <f t="shared" si="632"/>
        <v>2197.93080223585</v>
      </c>
      <c r="J1392" s="1491"/>
      <c r="K1392" s="1491"/>
      <c r="L1392" s="1347" t="s">
        <v>349</v>
      </c>
      <c r="M1392" s="223">
        <f t="shared" si="631"/>
        <v>218.34244589410935</v>
      </c>
      <c r="N1392" s="224">
        <f t="shared" si="626"/>
        <v>218.34244589410935</v>
      </c>
      <c r="O1392" s="224">
        <f t="shared" si="627"/>
        <v>0</v>
      </c>
      <c r="P1392" s="224">
        <f t="shared" si="628"/>
        <v>0</v>
      </c>
      <c r="Q1392" s="205"/>
    </row>
    <row r="1393" spans="1:17" hidden="1" outlineLevel="1">
      <c r="A1393" s="271" t="s">
        <v>1201</v>
      </c>
      <c r="B1393" s="1346" t="s">
        <v>412</v>
      </c>
      <c r="C1393" s="1332">
        <v>15141</v>
      </c>
      <c r="D1393" s="1313" t="s">
        <v>431</v>
      </c>
      <c r="E1393" s="1347" t="s">
        <v>349</v>
      </c>
      <c r="F1393" s="1313" t="s">
        <v>429</v>
      </c>
      <c r="G1393" s="1349">
        <v>9.3490000000000004E-2</v>
      </c>
      <c r="H1393" s="222">
        <f t="shared" si="630"/>
        <v>632.84385740913763</v>
      </c>
      <c r="I1393" s="1491">
        <f t="shared" si="632"/>
        <v>632.84385740913763</v>
      </c>
      <c r="J1393" s="1491"/>
      <c r="K1393" s="1491"/>
      <c r="L1393" s="1347" t="s">
        <v>349</v>
      </c>
      <c r="M1393" s="223">
        <f t="shared" si="631"/>
        <v>59.16457222918028</v>
      </c>
      <c r="N1393" s="224">
        <f t="shared" si="626"/>
        <v>59.16457222918028</v>
      </c>
      <c r="O1393" s="224">
        <f t="shared" si="627"/>
        <v>0</v>
      </c>
      <c r="P1393" s="224">
        <f t="shared" si="628"/>
        <v>0</v>
      </c>
      <c r="Q1393" s="205"/>
    </row>
    <row r="1394" spans="1:17" hidden="1" outlineLevel="1">
      <c r="A1394" s="271" t="s">
        <v>1201</v>
      </c>
      <c r="B1394" s="1346" t="s">
        <v>413</v>
      </c>
      <c r="C1394" s="1332">
        <v>16904</v>
      </c>
      <c r="D1394" s="1313" t="s">
        <v>431</v>
      </c>
      <c r="E1394" s="1347" t="s">
        <v>349</v>
      </c>
      <c r="F1394" s="1313" t="s">
        <v>430</v>
      </c>
      <c r="G1394" s="1349">
        <v>9.9339999999999998E-2</v>
      </c>
      <c r="H1394" s="222">
        <f t="shared" si="630"/>
        <v>2042.723843535824</v>
      </c>
      <c r="I1394" s="1491">
        <f t="shared" si="632"/>
        <v>2042.723843535824</v>
      </c>
      <c r="J1394" s="1491"/>
      <c r="K1394" s="1491"/>
      <c r="L1394" s="1347" t="s">
        <v>349</v>
      </c>
      <c r="M1394" s="223">
        <f t="shared" si="631"/>
        <v>202.92418661684874</v>
      </c>
      <c r="N1394" s="224">
        <f t="shared" si="626"/>
        <v>202.92418661684874</v>
      </c>
      <c r="O1394" s="224">
        <f t="shared" si="627"/>
        <v>0</v>
      </c>
      <c r="P1394" s="224">
        <f t="shared" si="628"/>
        <v>0</v>
      </c>
      <c r="Q1394" s="205"/>
    </row>
    <row r="1395" spans="1:17" hidden="1" outlineLevel="1">
      <c r="A1395" s="271" t="s">
        <v>1201</v>
      </c>
      <c r="B1395" s="1346" t="s">
        <v>595</v>
      </c>
      <c r="C1395" s="1332">
        <v>891</v>
      </c>
      <c r="D1395" s="1313" t="s">
        <v>431</v>
      </c>
      <c r="E1395" s="1347" t="s">
        <v>349</v>
      </c>
      <c r="F1395" s="1313" t="s">
        <v>429</v>
      </c>
      <c r="G1395" s="1349">
        <v>9.3490000000000004E-2</v>
      </c>
      <c r="H1395" s="222">
        <f t="shared" si="630"/>
        <v>1615.1537056976883</v>
      </c>
      <c r="I1395" s="1491">
        <f t="shared" si="632"/>
        <v>1615.1537056976883</v>
      </c>
      <c r="J1395" s="1491"/>
      <c r="K1395" s="1491"/>
      <c r="L1395" s="1347" t="s">
        <v>349</v>
      </c>
      <c r="M1395" s="223">
        <f t="shared" si="631"/>
        <v>151.00071994567688</v>
      </c>
      <c r="N1395" s="224">
        <f t="shared" si="626"/>
        <v>151.00071994567688</v>
      </c>
      <c r="O1395" s="224">
        <f t="shared" si="627"/>
        <v>0</v>
      </c>
      <c r="P1395" s="224">
        <f t="shared" si="628"/>
        <v>0</v>
      </c>
      <c r="Q1395" s="205"/>
    </row>
    <row r="1396" spans="1:17" hidden="1" outlineLevel="1">
      <c r="A1396" s="271" t="s">
        <v>1201</v>
      </c>
      <c r="B1396" s="1346" t="s">
        <v>606</v>
      </c>
      <c r="C1396" s="1332">
        <v>892</v>
      </c>
      <c r="D1396" s="1313" t="s">
        <v>431</v>
      </c>
      <c r="E1396" s="1347" t="s">
        <v>349</v>
      </c>
      <c r="F1396" s="1313" t="s">
        <v>429</v>
      </c>
      <c r="G1396" s="1349">
        <v>9.3490000000000004E-2</v>
      </c>
      <c r="H1396" s="222">
        <f t="shared" si="630"/>
        <v>6300.4011880036296</v>
      </c>
      <c r="I1396" s="1491">
        <f t="shared" si="632"/>
        <v>6300.4011880036296</v>
      </c>
      <c r="J1396" s="1491"/>
      <c r="K1396" s="1491"/>
      <c r="L1396" s="1347" t="s">
        <v>349</v>
      </c>
      <c r="M1396" s="223">
        <f t="shared" si="631"/>
        <v>589.02450706645936</v>
      </c>
      <c r="N1396" s="224">
        <f t="shared" si="626"/>
        <v>589.02450706645936</v>
      </c>
      <c r="O1396" s="224">
        <f t="shared" si="627"/>
        <v>0</v>
      </c>
      <c r="P1396" s="224">
        <f t="shared" si="628"/>
        <v>0</v>
      </c>
      <c r="Q1396" s="205"/>
    </row>
    <row r="1397" spans="1:17" hidden="1" outlineLevel="1">
      <c r="A1397" s="271" t="s">
        <v>1201</v>
      </c>
      <c r="B1397" s="1346" t="s">
        <v>1302</v>
      </c>
      <c r="C1397" s="1332">
        <v>708</v>
      </c>
      <c r="D1397" s="1313" t="s">
        <v>431</v>
      </c>
      <c r="E1397" s="1347" t="s">
        <v>349</v>
      </c>
      <c r="F1397" s="1313" t="s">
        <v>430</v>
      </c>
      <c r="G1397" s="1349">
        <v>9.9339999999999998E-2</v>
      </c>
      <c r="H1397" s="222">
        <f t="shared" si="630"/>
        <v>0</v>
      </c>
      <c r="I1397" s="1491">
        <f t="shared" si="632"/>
        <v>0</v>
      </c>
      <c r="J1397" s="1491"/>
      <c r="K1397" s="1491"/>
      <c r="L1397" s="1347" t="s">
        <v>349</v>
      </c>
      <c r="M1397" s="223">
        <f t="shared" si="631"/>
        <v>0</v>
      </c>
      <c r="N1397" s="224">
        <f t="shared" si="626"/>
        <v>0</v>
      </c>
      <c r="O1397" s="224">
        <f t="shared" si="627"/>
        <v>0</v>
      </c>
      <c r="P1397" s="224">
        <f t="shared" si="628"/>
        <v>0</v>
      </c>
      <c r="Q1397" s="205"/>
    </row>
    <row r="1398" spans="1:17" hidden="1" outlineLevel="1">
      <c r="A1398" s="271" t="s">
        <v>1201</v>
      </c>
      <c r="B1398" s="1346" t="s">
        <v>414</v>
      </c>
      <c r="C1398" s="1332">
        <v>16757</v>
      </c>
      <c r="D1398" s="1313" t="s">
        <v>431</v>
      </c>
      <c r="E1398" s="1347" t="s">
        <v>349</v>
      </c>
      <c r="F1398" s="1313" t="s">
        <v>429</v>
      </c>
      <c r="G1398" s="1349">
        <v>9.3490000000000004E-2</v>
      </c>
      <c r="H1398" s="222">
        <f t="shared" si="630"/>
        <v>1259.6797035137581</v>
      </c>
      <c r="I1398" s="1491">
        <f t="shared" si="632"/>
        <v>1259.6797035137581</v>
      </c>
      <c r="J1398" s="1491"/>
      <c r="K1398" s="1491"/>
      <c r="L1398" s="1347" t="s">
        <v>349</v>
      </c>
      <c r="M1398" s="223">
        <f t="shared" si="631"/>
        <v>117.76745548150124</v>
      </c>
      <c r="N1398" s="224">
        <f t="shared" si="626"/>
        <v>117.76745548150124</v>
      </c>
      <c r="O1398" s="224">
        <f t="shared" si="627"/>
        <v>0</v>
      </c>
      <c r="P1398" s="224">
        <f t="shared" si="628"/>
        <v>0</v>
      </c>
      <c r="Q1398" s="205"/>
    </row>
    <row r="1399" spans="1:17" hidden="1" outlineLevel="1">
      <c r="A1399" s="271" t="s">
        <v>1201</v>
      </c>
      <c r="B1399" s="1346" t="s">
        <v>596</v>
      </c>
      <c r="C1399" s="1332">
        <v>878</v>
      </c>
      <c r="D1399" s="1313" t="s">
        <v>431</v>
      </c>
      <c r="E1399" s="1347" t="s">
        <v>349</v>
      </c>
      <c r="F1399" s="1313" t="s">
        <v>429</v>
      </c>
      <c r="G1399" s="1349">
        <v>9.3490000000000004E-2</v>
      </c>
      <c r="H1399" s="222">
        <f t="shared" si="630"/>
        <v>8754.6738058988776</v>
      </c>
      <c r="I1399" s="1491">
        <f t="shared" si="632"/>
        <v>8754.6738058988776</v>
      </c>
      <c r="J1399" s="1491"/>
      <c r="K1399" s="1491"/>
      <c r="L1399" s="1347" t="s">
        <v>349</v>
      </c>
      <c r="M1399" s="223">
        <f t="shared" si="631"/>
        <v>818.4744541134861</v>
      </c>
      <c r="N1399" s="224">
        <f t="shared" si="626"/>
        <v>818.4744541134861</v>
      </c>
      <c r="O1399" s="224">
        <f t="shared" si="627"/>
        <v>0</v>
      </c>
      <c r="P1399" s="224">
        <f t="shared" si="628"/>
        <v>0</v>
      </c>
      <c r="Q1399" s="205"/>
    </row>
    <row r="1400" spans="1:17" hidden="1" outlineLevel="1">
      <c r="A1400" s="271" t="s">
        <v>1201</v>
      </c>
      <c r="B1400" s="1346" t="s">
        <v>597</v>
      </c>
      <c r="C1400" s="1332">
        <v>879</v>
      </c>
      <c r="D1400" s="1313" t="s">
        <v>431</v>
      </c>
      <c r="E1400" s="1347" t="s">
        <v>349</v>
      </c>
      <c r="F1400" s="1313" t="s">
        <v>429</v>
      </c>
      <c r="G1400" s="1349">
        <v>9.3490000000000004E-2</v>
      </c>
      <c r="H1400" s="222">
        <f t="shared" si="630"/>
        <v>3050.0670722598629</v>
      </c>
      <c r="I1400" s="1491">
        <f t="shared" si="632"/>
        <v>3050.0670722598629</v>
      </c>
      <c r="J1400" s="1491"/>
      <c r="K1400" s="1491"/>
      <c r="L1400" s="1347" t="s">
        <v>349</v>
      </c>
      <c r="M1400" s="223">
        <f t="shared" si="631"/>
        <v>285.15077058557461</v>
      </c>
      <c r="N1400" s="224">
        <f t="shared" si="626"/>
        <v>285.15077058557461</v>
      </c>
      <c r="O1400" s="224">
        <f t="shared" si="627"/>
        <v>0</v>
      </c>
      <c r="P1400" s="224">
        <f t="shared" si="628"/>
        <v>0</v>
      </c>
      <c r="Q1400" s="205"/>
    </row>
    <row r="1401" spans="1:17" hidden="1" outlineLevel="1">
      <c r="A1401" s="271" t="s">
        <v>1201</v>
      </c>
      <c r="B1401" s="1346" t="s">
        <v>598</v>
      </c>
      <c r="C1401" s="1332">
        <v>880</v>
      </c>
      <c r="D1401" s="1313" t="s">
        <v>431</v>
      </c>
      <c r="E1401" s="1347" t="s">
        <v>349</v>
      </c>
      <c r="F1401" s="1313" t="s">
        <v>429</v>
      </c>
      <c r="G1401" s="1349">
        <v>9.3490000000000004E-2</v>
      </c>
      <c r="H1401" s="222">
        <f t="shared" si="630"/>
        <v>9193.2586311286268</v>
      </c>
      <c r="I1401" s="1491">
        <f t="shared" si="632"/>
        <v>9193.2586311286268</v>
      </c>
      <c r="J1401" s="1491"/>
      <c r="K1401" s="1491"/>
      <c r="L1401" s="1347" t="s">
        <v>349</v>
      </c>
      <c r="M1401" s="223">
        <f t="shared" si="631"/>
        <v>859.4777494242154</v>
      </c>
      <c r="N1401" s="224">
        <f t="shared" si="626"/>
        <v>859.4777494242154</v>
      </c>
      <c r="O1401" s="224">
        <f t="shared" si="627"/>
        <v>0</v>
      </c>
      <c r="P1401" s="224">
        <f t="shared" si="628"/>
        <v>0</v>
      </c>
      <c r="Q1401" s="205"/>
    </row>
    <row r="1402" spans="1:17" hidden="1" outlineLevel="1">
      <c r="A1402" s="271" t="s">
        <v>1201</v>
      </c>
      <c r="B1402" s="1346" t="s">
        <v>599</v>
      </c>
      <c r="C1402" s="1332">
        <v>4650</v>
      </c>
      <c r="D1402" s="1313" t="s">
        <v>431</v>
      </c>
      <c r="E1402" s="1347" t="s">
        <v>349</v>
      </c>
      <c r="F1402" s="1313" t="s">
        <v>429</v>
      </c>
      <c r="G1402" s="1349">
        <v>9.3490000000000004E-2</v>
      </c>
      <c r="H1402" s="222">
        <f t="shared" si="630"/>
        <v>6653.872519752721</v>
      </c>
      <c r="I1402" s="1491">
        <f t="shared" si="632"/>
        <v>6653.872519752721</v>
      </c>
      <c r="J1402" s="1491"/>
      <c r="K1402" s="1491"/>
      <c r="L1402" s="1347" t="s">
        <v>349</v>
      </c>
      <c r="M1402" s="223">
        <f t="shared" si="631"/>
        <v>622.07054187168194</v>
      </c>
      <c r="N1402" s="224">
        <f t="shared" si="626"/>
        <v>622.07054187168194</v>
      </c>
      <c r="O1402" s="224">
        <f t="shared" si="627"/>
        <v>0</v>
      </c>
      <c r="P1402" s="224">
        <f t="shared" si="628"/>
        <v>0</v>
      </c>
      <c r="Q1402" s="205"/>
    </row>
    <row r="1403" spans="1:17" hidden="1" outlineLevel="1">
      <c r="A1403" s="271" t="s">
        <v>1201</v>
      </c>
      <c r="B1403" s="1346" t="s">
        <v>1303</v>
      </c>
      <c r="C1403" s="1332">
        <v>14114</v>
      </c>
      <c r="D1403" s="1313" t="s">
        <v>431</v>
      </c>
      <c r="E1403" s="1347" t="s">
        <v>349</v>
      </c>
      <c r="F1403" s="1313" t="s">
        <v>430</v>
      </c>
      <c r="G1403" s="1349">
        <v>9.9339999999999998E-2</v>
      </c>
      <c r="H1403" s="222">
        <f t="shared" si="630"/>
        <v>7259.6803262915319</v>
      </c>
      <c r="I1403" s="1491">
        <f t="shared" si="632"/>
        <v>7259.6803262915319</v>
      </c>
      <c r="J1403" s="1491"/>
      <c r="K1403" s="1491"/>
      <c r="L1403" s="1347" t="s">
        <v>349</v>
      </c>
      <c r="M1403" s="223">
        <f t="shared" si="631"/>
        <v>721.17664361380071</v>
      </c>
      <c r="N1403" s="224">
        <f t="shared" si="626"/>
        <v>721.17664361380071</v>
      </c>
      <c r="O1403" s="224">
        <f t="shared" si="627"/>
        <v>0</v>
      </c>
      <c r="P1403" s="224">
        <f t="shared" si="628"/>
        <v>0</v>
      </c>
      <c r="Q1403" s="205"/>
    </row>
    <row r="1404" spans="1:17" hidden="1" outlineLevel="1">
      <c r="A1404" s="271" t="s">
        <v>1201</v>
      </c>
      <c r="B1404" s="1346" t="s">
        <v>1303</v>
      </c>
      <c r="C1404" s="1332">
        <v>14114</v>
      </c>
      <c r="D1404" s="1313" t="s">
        <v>431</v>
      </c>
      <c r="E1404" s="1347" t="s">
        <v>349</v>
      </c>
      <c r="F1404" s="1313" t="s">
        <v>430</v>
      </c>
      <c r="G1404" s="1349">
        <v>0.18235000000000001</v>
      </c>
      <c r="H1404" s="222">
        <f t="shared" si="630"/>
        <v>6022.0299975610033</v>
      </c>
      <c r="I1404" s="1491">
        <f t="shared" si="632"/>
        <v>6022.0299975610033</v>
      </c>
      <c r="J1404" s="1491"/>
      <c r="K1404" s="1491"/>
      <c r="L1404" s="1347" t="s">
        <v>349</v>
      </c>
      <c r="M1404" s="223">
        <f t="shared" si="631"/>
        <v>1098.1171700552491</v>
      </c>
      <c r="N1404" s="224">
        <f t="shared" si="626"/>
        <v>1098.1171700552491</v>
      </c>
      <c r="O1404" s="224">
        <f t="shared" si="627"/>
        <v>0</v>
      </c>
      <c r="P1404" s="224">
        <f t="shared" si="628"/>
        <v>0</v>
      </c>
      <c r="Q1404" s="205"/>
    </row>
    <row r="1405" spans="1:17" hidden="1" outlineLevel="1">
      <c r="A1405" s="271" t="s">
        <v>1201</v>
      </c>
      <c r="B1405" s="1346" t="s">
        <v>600</v>
      </c>
      <c r="C1405" s="1332">
        <v>969</v>
      </c>
      <c r="D1405" s="1313" t="s">
        <v>431</v>
      </c>
      <c r="E1405" s="1347" t="s">
        <v>349</v>
      </c>
      <c r="F1405" s="1313" t="s">
        <v>429</v>
      </c>
      <c r="G1405" s="1349">
        <v>9.3490000000000004E-2</v>
      </c>
      <c r="H1405" s="222">
        <f t="shared" si="630"/>
        <v>8839.7872993795372</v>
      </c>
      <c r="I1405" s="1491">
        <f t="shared" si="632"/>
        <v>8839.7872993795372</v>
      </c>
      <c r="J1405" s="1491"/>
      <c r="K1405" s="1491"/>
      <c r="L1405" s="1347" t="s">
        <v>349</v>
      </c>
      <c r="M1405" s="223">
        <f t="shared" si="631"/>
        <v>826.43171461899294</v>
      </c>
      <c r="N1405" s="224">
        <f t="shared" si="626"/>
        <v>826.43171461899294</v>
      </c>
      <c r="O1405" s="224">
        <f t="shared" si="627"/>
        <v>0</v>
      </c>
      <c r="P1405" s="224">
        <f t="shared" si="628"/>
        <v>0</v>
      </c>
      <c r="Q1405" s="205"/>
    </row>
    <row r="1406" spans="1:17" hidden="1" outlineLevel="1">
      <c r="A1406" s="271" t="s">
        <v>1201</v>
      </c>
      <c r="B1406" s="1346" t="s">
        <v>601</v>
      </c>
      <c r="C1406" s="1332">
        <v>1003</v>
      </c>
      <c r="D1406" s="1313" t="s">
        <v>431</v>
      </c>
      <c r="E1406" s="1347" t="s">
        <v>349</v>
      </c>
      <c r="F1406" s="1313" t="s">
        <v>430</v>
      </c>
      <c r="G1406" s="1349">
        <v>9.9339999999999998E-2</v>
      </c>
      <c r="H1406" s="222">
        <f t="shared" si="630"/>
        <v>5534.3797466776959</v>
      </c>
      <c r="I1406" s="1491">
        <f t="shared" si="632"/>
        <v>5534.3797466776959</v>
      </c>
      <c r="J1406" s="1491"/>
      <c r="K1406" s="1491"/>
      <c r="L1406" s="1347" t="s">
        <v>349</v>
      </c>
      <c r="M1406" s="223">
        <f t="shared" si="631"/>
        <v>549.78528403496227</v>
      </c>
      <c r="N1406" s="224">
        <f t="shared" si="626"/>
        <v>549.78528403496227</v>
      </c>
      <c r="O1406" s="224">
        <f t="shared" si="627"/>
        <v>0</v>
      </c>
      <c r="P1406" s="224">
        <f t="shared" si="628"/>
        <v>0</v>
      </c>
      <c r="Q1406" s="205"/>
    </row>
    <row r="1407" spans="1:17" hidden="1" outlineLevel="1">
      <c r="A1407" s="271" t="s">
        <v>1201</v>
      </c>
      <c r="B1407" s="1346" t="s">
        <v>416</v>
      </c>
      <c r="C1407" s="1332">
        <v>881</v>
      </c>
      <c r="D1407" s="1313" t="s">
        <v>431</v>
      </c>
      <c r="E1407" s="1347" t="s">
        <v>349</v>
      </c>
      <c r="F1407" s="1313" t="s">
        <v>429</v>
      </c>
      <c r="G1407" s="1349">
        <v>9.3490000000000004E-2</v>
      </c>
      <c r="H1407" s="222">
        <f t="shared" si="630"/>
        <v>986.3151891582288</v>
      </c>
      <c r="I1407" s="1491">
        <f t="shared" si="632"/>
        <v>986.3151891582288</v>
      </c>
      <c r="J1407" s="1491"/>
      <c r="K1407" s="1491"/>
      <c r="L1407" s="1347" t="s">
        <v>349</v>
      </c>
      <c r="M1407" s="223">
        <f t="shared" si="631"/>
        <v>92.210607034402813</v>
      </c>
      <c r="N1407" s="224">
        <f t="shared" si="626"/>
        <v>92.210607034402813</v>
      </c>
      <c r="O1407" s="224">
        <f t="shared" si="627"/>
        <v>0</v>
      </c>
      <c r="P1407" s="224">
        <f t="shared" si="628"/>
        <v>0</v>
      </c>
      <c r="Q1407" s="205"/>
    </row>
    <row r="1408" spans="1:17" hidden="1" outlineLevel="1">
      <c r="A1408" s="271" t="s">
        <v>1201</v>
      </c>
      <c r="B1408" s="1346" t="s">
        <v>417</v>
      </c>
      <c r="C1408" s="1332">
        <v>832</v>
      </c>
      <c r="D1408" s="1313" t="s">
        <v>431</v>
      </c>
      <c r="E1408" s="1347" t="s">
        <v>349</v>
      </c>
      <c r="F1408" s="1313" t="s">
        <v>429</v>
      </c>
      <c r="G1408" s="1349">
        <v>9.3490000000000004E-2</v>
      </c>
      <c r="H1408" s="222">
        <f t="shared" si="630"/>
        <v>363.48468392328635</v>
      </c>
      <c r="I1408" s="1491">
        <f t="shared" si="632"/>
        <v>363.48468392328635</v>
      </c>
      <c r="J1408" s="1491"/>
      <c r="K1408" s="1491"/>
      <c r="L1408" s="1347" t="s">
        <v>349</v>
      </c>
      <c r="M1408" s="223">
        <f t="shared" si="631"/>
        <v>33.982183099988042</v>
      </c>
      <c r="N1408" s="224">
        <f t="shared" si="626"/>
        <v>33.982183099988042</v>
      </c>
      <c r="O1408" s="224">
        <f t="shared" si="627"/>
        <v>0</v>
      </c>
      <c r="P1408" s="224">
        <f t="shared" si="628"/>
        <v>0</v>
      </c>
      <c r="Q1408" s="205"/>
    </row>
    <row r="1409" spans="1:18" hidden="1" outlineLevel="1">
      <c r="A1409" s="271" t="s">
        <v>1201</v>
      </c>
      <c r="B1409" s="1346" t="s">
        <v>418</v>
      </c>
      <c r="C1409" s="1332">
        <v>1138</v>
      </c>
      <c r="D1409" s="1313" t="s">
        <v>431</v>
      </c>
      <c r="E1409" s="1347" t="s">
        <v>349</v>
      </c>
      <c r="F1409" s="1313" t="s">
        <v>430</v>
      </c>
      <c r="G1409" s="1349">
        <v>9.9339999999999998E-2</v>
      </c>
      <c r="H1409" s="222">
        <f t="shared" si="630"/>
        <v>11381.176081190282</v>
      </c>
      <c r="I1409" s="1491">
        <f t="shared" si="632"/>
        <v>11381.176081190282</v>
      </c>
      <c r="J1409" s="1491"/>
      <c r="K1409" s="1491"/>
      <c r="L1409" s="1347" t="s">
        <v>349</v>
      </c>
      <c r="M1409" s="223">
        <f t="shared" si="631"/>
        <v>1130.6060319054427</v>
      </c>
      <c r="N1409" s="224">
        <f t="shared" si="626"/>
        <v>1130.6060319054427</v>
      </c>
      <c r="O1409" s="224">
        <f t="shared" si="627"/>
        <v>0</v>
      </c>
      <c r="P1409" s="224">
        <f t="shared" si="628"/>
        <v>0</v>
      </c>
      <c r="Q1409" s="205"/>
    </row>
    <row r="1410" spans="1:18" hidden="1" outlineLevel="1">
      <c r="A1410" s="271" t="s">
        <v>1201</v>
      </c>
      <c r="B1410" s="1346" t="s">
        <v>419</v>
      </c>
      <c r="C1410" s="1332">
        <v>1010</v>
      </c>
      <c r="D1410" s="1313" t="s">
        <v>431</v>
      </c>
      <c r="E1410" s="1347" t="s">
        <v>349</v>
      </c>
      <c r="F1410" s="1313" t="s">
        <v>430</v>
      </c>
      <c r="G1410" s="1349">
        <v>9.9339999999999998E-2</v>
      </c>
      <c r="H1410" s="222">
        <f t="shared" si="630"/>
        <v>68.090794784527475</v>
      </c>
      <c r="I1410" s="1491">
        <f t="shared" si="632"/>
        <v>68.090794784527475</v>
      </c>
      <c r="J1410" s="1491"/>
      <c r="K1410" s="1491"/>
      <c r="L1410" s="1347" t="s">
        <v>349</v>
      </c>
      <c r="M1410" s="223">
        <f t="shared" si="631"/>
        <v>6.7641395538949594</v>
      </c>
      <c r="N1410" s="224">
        <f t="shared" si="626"/>
        <v>6.7641395538949594</v>
      </c>
      <c r="O1410" s="224">
        <f t="shared" si="627"/>
        <v>0</v>
      </c>
      <c r="P1410" s="224">
        <f t="shared" si="628"/>
        <v>0</v>
      </c>
      <c r="Q1410" s="205"/>
    </row>
    <row r="1411" spans="1:18" hidden="1" outlineLevel="1">
      <c r="A1411" s="271" t="s">
        <v>1201</v>
      </c>
      <c r="B1411" s="1346" t="s">
        <v>420</v>
      </c>
      <c r="C1411" s="1332">
        <v>16476</v>
      </c>
      <c r="D1411" s="1313" t="s">
        <v>431</v>
      </c>
      <c r="E1411" s="1347" t="s">
        <v>349</v>
      </c>
      <c r="F1411" s="1313" t="s">
        <v>430</v>
      </c>
      <c r="G1411" s="1349">
        <v>9.9339999999999998E-2</v>
      </c>
      <c r="H1411" s="222">
        <f t="shared" si="630"/>
        <v>387.51672914135486</v>
      </c>
      <c r="I1411" s="1491">
        <f t="shared" si="632"/>
        <v>387.51672914135486</v>
      </c>
      <c r="J1411" s="1491"/>
      <c r="K1411" s="1491"/>
      <c r="L1411" s="1347" t="s">
        <v>349</v>
      </c>
      <c r="M1411" s="223">
        <f t="shared" si="631"/>
        <v>38.495911872902191</v>
      </c>
      <c r="N1411" s="224">
        <f t="shared" si="626"/>
        <v>38.495911872902191</v>
      </c>
      <c r="O1411" s="224">
        <f t="shared" si="627"/>
        <v>0</v>
      </c>
      <c r="P1411" s="224">
        <f t="shared" si="628"/>
        <v>0</v>
      </c>
      <c r="Q1411" s="205"/>
    </row>
    <row r="1412" spans="1:18" hidden="1" outlineLevel="1">
      <c r="A1412" s="271" t="s">
        <v>1201</v>
      </c>
      <c r="B1412" s="1346" t="s">
        <v>602</v>
      </c>
      <c r="C1412" s="1332">
        <v>965</v>
      </c>
      <c r="D1412" s="1313" t="s">
        <v>431</v>
      </c>
      <c r="E1412" s="1347" t="s">
        <v>349</v>
      </c>
      <c r="F1412" s="1313" t="s">
        <v>429</v>
      </c>
      <c r="G1412" s="1349">
        <v>9.3490000000000004E-2</v>
      </c>
      <c r="H1412" s="222">
        <f t="shared" si="630"/>
        <v>1967.6237022293599</v>
      </c>
      <c r="I1412" s="1491">
        <f t="shared" si="632"/>
        <v>1967.6237022293599</v>
      </c>
      <c r="J1412" s="1491"/>
      <c r="K1412" s="1491"/>
      <c r="L1412" s="1347" t="s">
        <v>349</v>
      </c>
      <c r="M1412" s="223">
        <f t="shared" si="631"/>
        <v>183.95313992142286</v>
      </c>
      <c r="N1412" s="224">
        <f t="shared" si="626"/>
        <v>183.95313992142286</v>
      </c>
      <c r="O1412" s="224">
        <f t="shared" si="627"/>
        <v>0</v>
      </c>
      <c r="P1412" s="224">
        <f t="shared" si="628"/>
        <v>0</v>
      </c>
      <c r="Q1412" s="205"/>
    </row>
    <row r="1413" spans="1:18" hidden="1" outlineLevel="1">
      <c r="A1413" s="271" t="s">
        <v>1201</v>
      </c>
      <c r="B1413" s="1346" t="s">
        <v>603</v>
      </c>
      <c r="C1413" s="1332">
        <v>968</v>
      </c>
      <c r="D1413" s="1313" t="s">
        <v>431</v>
      </c>
      <c r="E1413" s="1347" t="s">
        <v>349</v>
      </c>
      <c r="F1413" s="1313" t="s">
        <v>429</v>
      </c>
      <c r="G1413" s="1349">
        <v>9.3490000000000004E-2</v>
      </c>
      <c r="H1413" s="222">
        <f t="shared" si="630"/>
        <v>1682.2431652647963</v>
      </c>
      <c r="I1413" s="1491">
        <f t="shared" si="632"/>
        <v>1682.2431652647963</v>
      </c>
      <c r="J1413" s="1491"/>
      <c r="K1413" s="1491"/>
      <c r="L1413" s="1347" t="s">
        <v>349</v>
      </c>
      <c r="M1413" s="223">
        <f t="shared" si="631"/>
        <v>157.27291352060581</v>
      </c>
      <c r="N1413" s="224">
        <f t="shared" si="626"/>
        <v>157.27291352060581</v>
      </c>
      <c r="O1413" s="224">
        <f t="shared" si="627"/>
        <v>0</v>
      </c>
      <c r="P1413" s="224">
        <f t="shared" si="628"/>
        <v>0</v>
      </c>
      <c r="Q1413" s="205"/>
    </row>
    <row r="1414" spans="1:18" hidden="1" outlineLevel="1">
      <c r="A1414" s="271" t="s">
        <v>1201</v>
      </c>
      <c r="B1414" s="1346" t="s">
        <v>421</v>
      </c>
      <c r="C1414" s="1332">
        <v>964</v>
      </c>
      <c r="D1414" s="1313" t="s">
        <v>431</v>
      </c>
      <c r="E1414" s="1347" t="s">
        <v>349</v>
      </c>
      <c r="F1414" s="1313" t="s">
        <v>429</v>
      </c>
      <c r="G1414" s="1349">
        <v>9.3490000000000004E-2</v>
      </c>
      <c r="H1414" s="222">
        <f t="shared" si="630"/>
        <v>114.15221478582546</v>
      </c>
      <c r="I1414" s="1491">
        <f t="shared" si="632"/>
        <v>114.15221478582546</v>
      </c>
      <c r="J1414" s="1491"/>
      <c r="K1414" s="1491"/>
      <c r="L1414" s="1347" t="s">
        <v>349</v>
      </c>
      <c r="M1414" s="223">
        <f t="shared" si="631"/>
        <v>10.672090560326824</v>
      </c>
      <c r="N1414" s="224">
        <f t="shared" si="626"/>
        <v>10.672090560326824</v>
      </c>
      <c r="O1414" s="224">
        <f t="shared" si="627"/>
        <v>0</v>
      </c>
      <c r="P1414" s="224">
        <f t="shared" si="628"/>
        <v>0</v>
      </c>
      <c r="Q1414" s="205"/>
    </row>
    <row r="1415" spans="1:18" hidden="1" outlineLevel="1">
      <c r="A1415" s="271" t="s">
        <v>1201</v>
      </c>
      <c r="B1415" s="1346" t="s">
        <v>422</v>
      </c>
      <c r="C1415" s="1332">
        <v>16477</v>
      </c>
      <c r="D1415" s="1313" t="s">
        <v>431</v>
      </c>
      <c r="E1415" s="1347" t="s">
        <v>349</v>
      </c>
      <c r="F1415" s="1313" t="s">
        <v>430</v>
      </c>
      <c r="G1415" s="1349">
        <v>9.9339999999999998E-2</v>
      </c>
      <c r="H1415" s="222">
        <f t="shared" si="630"/>
        <v>100.13352174195217</v>
      </c>
      <c r="I1415" s="1491">
        <f t="shared" si="632"/>
        <v>100.13352174195217</v>
      </c>
      <c r="J1415" s="1491"/>
      <c r="K1415" s="1491"/>
      <c r="L1415" s="1347" t="s">
        <v>349</v>
      </c>
      <c r="M1415" s="223">
        <f t="shared" si="631"/>
        <v>9.9472640498455274</v>
      </c>
      <c r="N1415" s="224">
        <f t="shared" si="626"/>
        <v>9.9472640498455274</v>
      </c>
      <c r="O1415" s="224">
        <f t="shared" si="627"/>
        <v>0</v>
      </c>
      <c r="P1415" s="224">
        <f t="shared" si="628"/>
        <v>0</v>
      </c>
      <c r="Q1415" s="205"/>
    </row>
    <row r="1416" spans="1:18" hidden="1" outlineLevel="1">
      <c r="A1416" s="271" t="s">
        <v>1201</v>
      </c>
      <c r="B1416" s="1346" t="s">
        <v>423</v>
      </c>
      <c r="C1416" s="1332">
        <v>703</v>
      </c>
      <c r="D1416" s="1313" t="s">
        <v>431</v>
      </c>
      <c r="E1416" s="1347" t="s">
        <v>349</v>
      </c>
      <c r="F1416" s="1313" t="s">
        <v>430</v>
      </c>
      <c r="G1416" s="1349">
        <v>9.9339999999999998E-2</v>
      </c>
      <c r="H1416" s="222">
        <f t="shared" si="630"/>
        <v>1937.5836457067742</v>
      </c>
      <c r="I1416" s="1491">
        <f t="shared" si="632"/>
        <v>1937.5836457067742</v>
      </c>
      <c r="J1416" s="1491"/>
      <c r="K1416" s="1491"/>
      <c r="L1416" s="1347" t="s">
        <v>349</v>
      </c>
      <c r="M1416" s="223">
        <f t="shared" si="631"/>
        <v>192.47955936451095</v>
      </c>
      <c r="N1416" s="224">
        <f t="shared" si="626"/>
        <v>192.47955936451095</v>
      </c>
      <c r="O1416" s="224">
        <f t="shared" si="627"/>
        <v>0</v>
      </c>
      <c r="P1416" s="224">
        <f t="shared" si="628"/>
        <v>0</v>
      </c>
      <c r="Q1416" s="205"/>
    </row>
    <row r="1417" spans="1:18" hidden="1" outlineLevel="1">
      <c r="A1417" s="271" t="s">
        <v>1201</v>
      </c>
      <c r="B1417" s="1346" t="s">
        <v>604</v>
      </c>
      <c r="C1417" s="1332">
        <v>707</v>
      </c>
      <c r="D1417" s="1313" t="s">
        <v>431</v>
      </c>
      <c r="E1417" s="1347" t="s">
        <v>349</v>
      </c>
      <c r="F1417" s="1313" t="s">
        <v>430</v>
      </c>
      <c r="G1417" s="1349">
        <v>9.9339999999999998E-2</v>
      </c>
      <c r="H1417" s="222">
        <f t="shared" si="630"/>
        <v>10924.567222046981</v>
      </c>
      <c r="I1417" s="1491">
        <f t="shared" si="632"/>
        <v>10924.567222046981</v>
      </c>
      <c r="J1417" s="1491"/>
      <c r="K1417" s="1491"/>
      <c r="L1417" s="1347" t="s">
        <v>349</v>
      </c>
      <c r="M1417" s="223">
        <f t="shared" si="631"/>
        <v>1085.246507838147</v>
      </c>
      <c r="N1417" s="224">
        <f t="shared" si="626"/>
        <v>1085.246507838147</v>
      </c>
      <c r="O1417" s="224">
        <f t="shared" si="627"/>
        <v>0</v>
      </c>
      <c r="P1417" s="224">
        <f t="shared" si="628"/>
        <v>0</v>
      </c>
      <c r="Q1417" s="205"/>
    </row>
    <row r="1418" spans="1:18" hidden="1" outlineLevel="1">
      <c r="A1418" s="271" t="s">
        <v>1201</v>
      </c>
      <c r="B1418" s="1356" t="s">
        <v>466</v>
      </c>
      <c r="C1418" s="1334">
        <v>15025</v>
      </c>
      <c r="D1418" s="1313" t="s">
        <v>431</v>
      </c>
      <c r="E1418" s="1357" t="s">
        <v>349</v>
      </c>
      <c r="F1418" s="1317" t="s">
        <v>430</v>
      </c>
      <c r="G1418" s="1348">
        <v>9.9339999999999998E-2</v>
      </c>
      <c r="H1418" s="222">
        <f t="shared" si="630"/>
        <v>1171.5622043808403</v>
      </c>
      <c r="I1418" s="1491">
        <f t="shared" si="632"/>
        <v>1171.5622043808403</v>
      </c>
      <c r="J1418" s="1491"/>
      <c r="K1418" s="1491"/>
      <c r="L1418" s="1347" t="s">
        <v>349</v>
      </c>
      <c r="M1418" s="223">
        <f t="shared" si="631"/>
        <v>116.38298938319267</v>
      </c>
      <c r="N1418" s="224">
        <f t="shared" si="626"/>
        <v>116.38298938319267</v>
      </c>
      <c r="O1418" s="224">
        <f t="shared" si="627"/>
        <v>0</v>
      </c>
      <c r="P1418" s="224">
        <f t="shared" si="628"/>
        <v>0</v>
      </c>
      <c r="Q1418" s="205"/>
    </row>
    <row r="1419" spans="1:18" hidden="1" outlineLevel="1">
      <c r="A1419" s="271" t="s">
        <v>1201</v>
      </c>
      <c r="B1419" s="1346" t="s">
        <v>659</v>
      </c>
      <c r="C1419" s="1332">
        <v>51778</v>
      </c>
      <c r="D1419" s="1313" t="s">
        <v>431</v>
      </c>
      <c r="E1419" s="1347" t="s">
        <v>349</v>
      </c>
      <c r="F1419" s="1313" t="s">
        <v>430</v>
      </c>
      <c r="G1419" s="1349">
        <v>9.9339999999999998E-2</v>
      </c>
      <c r="H1419" s="222">
        <f t="shared" si="630"/>
        <v>757.0094243691583</v>
      </c>
      <c r="I1419" s="1491">
        <f t="shared" ref="I1419:I1450" si="635">I1117*(100%+$I$1354)</f>
        <v>757.0094243691583</v>
      </c>
      <c r="J1419" s="1491"/>
      <c r="K1419" s="1491"/>
      <c r="L1419" s="1347" t="s">
        <v>349</v>
      </c>
      <c r="M1419" s="223">
        <f t="shared" si="631"/>
        <v>75.201316216832183</v>
      </c>
      <c r="N1419" s="224">
        <f t="shared" si="626"/>
        <v>75.201316216832183</v>
      </c>
      <c r="O1419" s="224">
        <f t="shared" si="627"/>
        <v>0</v>
      </c>
      <c r="P1419" s="224">
        <f t="shared" si="628"/>
        <v>0</v>
      </c>
      <c r="Q1419" s="205"/>
    </row>
    <row r="1420" spans="1:18" hidden="1" outlineLevel="1">
      <c r="A1420" s="225" t="s">
        <v>1201</v>
      </c>
      <c r="B1420" s="1350" t="s">
        <v>461</v>
      </c>
      <c r="C1420" s="1336">
        <v>60447</v>
      </c>
      <c r="D1420" s="1321" t="s">
        <v>431</v>
      </c>
      <c r="E1420" s="1351" t="s">
        <v>349</v>
      </c>
      <c r="F1420" s="1321" t="s">
        <v>430</v>
      </c>
      <c r="G1420" s="1352">
        <v>9.9339999999999998E-2</v>
      </c>
      <c r="H1420" s="226">
        <f t="shared" si="630"/>
        <v>33534.716431379777</v>
      </c>
      <c r="I1420" s="1493">
        <f t="shared" si="635"/>
        <v>33534.716431379777</v>
      </c>
      <c r="J1420" s="1493"/>
      <c r="K1420" s="1493"/>
      <c r="L1420" s="1351" t="s">
        <v>349</v>
      </c>
      <c r="M1420" s="227">
        <f t="shared" si="631"/>
        <v>3331.338730293267</v>
      </c>
      <c r="N1420" s="228">
        <f t="shared" si="626"/>
        <v>3331.338730293267</v>
      </c>
      <c r="O1420" s="228">
        <f t="shared" si="627"/>
        <v>0</v>
      </c>
      <c r="P1420" s="228">
        <f t="shared" si="628"/>
        <v>0</v>
      </c>
      <c r="Q1420" s="230"/>
      <c r="R1420" s="512">
        <f>SUM(M1388:M1420)</f>
        <v>14122.99968020061</v>
      </c>
    </row>
    <row r="1421" spans="1:18" hidden="1" outlineLevel="1">
      <c r="A1421" s="775" t="s">
        <v>1201</v>
      </c>
      <c r="B1421" s="1343" t="s">
        <v>408</v>
      </c>
      <c r="C1421" s="1330">
        <v>841</v>
      </c>
      <c r="D1421" s="1309" t="s">
        <v>432</v>
      </c>
      <c r="E1421" s="1344" t="s">
        <v>349</v>
      </c>
      <c r="F1421" s="1309" t="s">
        <v>429</v>
      </c>
      <c r="G1421" s="1345">
        <v>9.3490000000000004E-2</v>
      </c>
      <c r="H1421" s="222">
        <f t="shared" si="630"/>
        <v>185.24701522261148</v>
      </c>
      <c r="I1421" s="1491">
        <f t="shared" si="635"/>
        <v>185.24701522261148</v>
      </c>
      <c r="J1421" s="1491"/>
      <c r="K1421" s="1491"/>
      <c r="L1421" s="1347" t="s">
        <v>349</v>
      </c>
      <c r="M1421" s="223">
        <f t="shared" si="631"/>
        <v>17.318743453161947</v>
      </c>
      <c r="N1421" s="224">
        <f t="shared" si="626"/>
        <v>17.318743453161947</v>
      </c>
      <c r="O1421" s="224">
        <f t="shared" si="627"/>
        <v>0</v>
      </c>
      <c r="P1421" s="224">
        <f t="shared" si="628"/>
        <v>0</v>
      </c>
      <c r="Q1421" s="205"/>
    </row>
    <row r="1422" spans="1:18" hidden="1" outlineLevel="1">
      <c r="A1422" s="271" t="s">
        <v>1201</v>
      </c>
      <c r="B1422" s="1356" t="s">
        <v>1259</v>
      </c>
      <c r="C1422" s="1332">
        <v>882</v>
      </c>
      <c r="D1422" s="1317" t="s">
        <v>432</v>
      </c>
      <c r="E1422" s="1347" t="s">
        <v>349</v>
      </c>
      <c r="F1422" s="1313" t="s">
        <v>429</v>
      </c>
      <c r="G1422" s="1349">
        <v>9.3490000000000004E-2</v>
      </c>
      <c r="H1422" s="222">
        <f t="shared" ref="H1422" si="636">SUM(I1422:K1422)</f>
        <v>0</v>
      </c>
      <c r="I1422" s="1492">
        <f t="shared" si="635"/>
        <v>0</v>
      </c>
      <c r="J1422" s="1492"/>
      <c r="K1422" s="1492"/>
      <c r="L1422" s="1357" t="s">
        <v>349</v>
      </c>
      <c r="M1422" s="223">
        <f t="shared" si="631"/>
        <v>0</v>
      </c>
      <c r="N1422" s="224">
        <f t="shared" ref="N1422" si="637">G1422*I1422</f>
        <v>0</v>
      </c>
      <c r="O1422" s="224">
        <f t="shared" ref="O1422" si="638">G1422*J1422*5</f>
        <v>0</v>
      </c>
      <c r="P1422" s="224">
        <f t="shared" ref="P1422" si="639">G1422*K1422*5</f>
        <v>0</v>
      </c>
      <c r="Q1422" s="205"/>
    </row>
    <row r="1423" spans="1:18" hidden="1" outlineLevel="1">
      <c r="A1423" s="271" t="s">
        <v>1201</v>
      </c>
      <c r="B1423" s="1346" t="s">
        <v>409</v>
      </c>
      <c r="C1423" s="1332">
        <v>21717</v>
      </c>
      <c r="D1423" s="1313" t="s">
        <v>432</v>
      </c>
      <c r="E1423" s="1347" t="s">
        <v>349</v>
      </c>
      <c r="F1423" s="1313" t="s">
        <v>429</v>
      </c>
      <c r="G1423" s="1349">
        <v>9.3490000000000004E-2</v>
      </c>
      <c r="H1423" s="222">
        <f t="shared" si="630"/>
        <v>1409.8799861266864</v>
      </c>
      <c r="I1423" s="1491">
        <f t="shared" si="635"/>
        <v>1409.8799861266864</v>
      </c>
      <c r="J1423" s="1491"/>
      <c r="K1423" s="1491"/>
      <c r="L1423" s="1347" t="s">
        <v>349</v>
      </c>
      <c r="M1423" s="223">
        <f t="shared" si="631"/>
        <v>131.8096799029839</v>
      </c>
      <c r="N1423" s="224">
        <f t="shared" ref="N1423:N1486" si="640">G1423*I1423</f>
        <v>131.8096799029839</v>
      </c>
      <c r="O1423" s="224">
        <f t="shared" ref="O1423:O1486" si="641">G1423*J1423*5</f>
        <v>0</v>
      </c>
      <c r="P1423" s="224">
        <f t="shared" ref="P1423:P1486" si="642">G1423*K1423*5</f>
        <v>0</v>
      </c>
      <c r="Q1423" s="205"/>
    </row>
    <row r="1424" spans="1:18" hidden="1" outlineLevel="1">
      <c r="A1424" s="271" t="s">
        <v>1201</v>
      </c>
      <c r="B1424" s="1346" t="s">
        <v>410</v>
      </c>
      <c r="C1424" s="1332">
        <v>749</v>
      </c>
      <c r="D1424" s="1313" t="s">
        <v>432</v>
      </c>
      <c r="E1424" s="1347" t="s">
        <v>349</v>
      </c>
      <c r="F1424" s="1313" t="s">
        <v>430</v>
      </c>
      <c r="G1424" s="1349">
        <v>9.9339999999999998E-2</v>
      </c>
      <c r="H1424" s="222">
        <f t="shared" si="630"/>
        <v>6442.5907888772017</v>
      </c>
      <c r="I1424" s="1491">
        <f t="shared" si="635"/>
        <v>6442.5907888772017</v>
      </c>
      <c r="J1424" s="1491"/>
      <c r="K1424" s="1491"/>
      <c r="L1424" s="1347" t="s">
        <v>349</v>
      </c>
      <c r="M1424" s="223">
        <f t="shared" si="631"/>
        <v>640.0069689670612</v>
      </c>
      <c r="N1424" s="224">
        <f t="shared" si="640"/>
        <v>640.0069689670612</v>
      </c>
      <c r="O1424" s="224">
        <f t="shared" si="641"/>
        <v>0</v>
      </c>
      <c r="P1424" s="224">
        <f t="shared" si="642"/>
        <v>0</v>
      </c>
      <c r="Q1424" s="205"/>
    </row>
    <row r="1425" spans="1:17" hidden="1" outlineLevel="1">
      <c r="A1425" s="271" t="s">
        <v>1201</v>
      </c>
      <c r="B1425" s="1346" t="s">
        <v>411</v>
      </c>
      <c r="C1425" s="1332">
        <v>20044</v>
      </c>
      <c r="D1425" s="1313" t="s">
        <v>432</v>
      </c>
      <c r="E1425" s="1347" t="s">
        <v>349</v>
      </c>
      <c r="F1425" s="1313" t="s">
        <v>430</v>
      </c>
      <c r="G1425" s="1349">
        <v>9.9339999999999998E-2</v>
      </c>
      <c r="H1425" s="222">
        <f t="shared" si="630"/>
        <v>2136.849353973259</v>
      </c>
      <c r="I1425" s="1491">
        <f t="shared" si="635"/>
        <v>2136.849353973259</v>
      </c>
      <c r="J1425" s="1491"/>
      <c r="K1425" s="1491"/>
      <c r="L1425" s="1347" t="s">
        <v>349</v>
      </c>
      <c r="M1425" s="223">
        <f t="shared" si="631"/>
        <v>212.27461482370353</v>
      </c>
      <c r="N1425" s="224">
        <f t="shared" si="640"/>
        <v>212.27461482370353</v>
      </c>
      <c r="O1425" s="224">
        <f t="shared" si="641"/>
        <v>0</v>
      </c>
      <c r="P1425" s="224">
        <f t="shared" si="642"/>
        <v>0</v>
      </c>
      <c r="Q1425" s="205"/>
    </row>
    <row r="1426" spans="1:17" hidden="1" outlineLevel="1">
      <c r="A1426" s="271" t="s">
        <v>1201</v>
      </c>
      <c r="B1426" s="1346" t="s">
        <v>412</v>
      </c>
      <c r="C1426" s="1332">
        <v>15141</v>
      </c>
      <c r="D1426" s="1313" t="s">
        <v>432</v>
      </c>
      <c r="E1426" s="1347" t="s">
        <v>349</v>
      </c>
      <c r="F1426" s="1313" t="s">
        <v>429</v>
      </c>
      <c r="G1426" s="1349">
        <v>9.3490000000000004E-2</v>
      </c>
      <c r="H1426" s="222">
        <f t="shared" si="630"/>
        <v>563.75172740719063</v>
      </c>
      <c r="I1426" s="1491">
        <f t="shared" si="635"/>
        <v>563.75172740719063</v>
      </c>
      <c r="J1426" s="1491"/>
      <c r="K1426" s="1491"/>
      <c r="L1426" s="1347" t="s">
        <v>349</v>
      </c>
      <c r="M1426" s="223">
        <f t="shared" si="631"/>
        <v>52.705148995298252</v>
      </c>
      <c r="N1426" s="224">
        <f t="shared" si="640"/>
        <v>52.705148995298252</v>
      </c>
      <c r="O1426" s="224">
        <f t="shared" si="641"/>
        <v>0</v>
      </c>
      <c r="P1426" s="224">
        <f t="shared" si="642"/>
        <v>0</v>
      </c>
      <c r="Q1426" s="205"/>
    </row>
    <row r="1427" spans="1:17" hidden="1" outlineLevel="1">
      <c r="A1427" s="271" t="s">
        <v>1201</v>
      </c>
      <c r="B1427" s="1346" t="s">
        <v>413</v>
      </c>
      <c r="C1427" s="1332">
        <v>16904</v>
      </c>
      <c r="D1427" s="1313" t="s">
        <v>432</v>
      </c>
      <c r="E1427" s="1347" t="s">
        <v>349</v>
      </c>
      <c r="F1427" s="1313" t="s">
        <v>430</v>
      </c>
      <c r="G1427" s="1349">
        <v>9.9339999999999998E-2</v>
      </c>
      <c r="H1427" s="222">
        <f t="shared" si="630"/>
        <v>2169.8934161481034</v>
      </c>
      <c r="I1427" s="1491">
        <f t="shared" si="635"/>
        <v>2169.8934161481034</v>
      </c>
      <c r="J1427" s="1491"/>
      <c r="K1427" s="1491"/>
      <c r="L1427" s="1347" t="s">
        <v>349</v>
      </c>
      <c r="M1427" s="223">
        <f t="shared" si="631"/>
        <v>215.55721196015259</v>
      </c>
      <c r="N1427" s="224">
        <f t="shared" si="640"/>
        <v>215.55721196015259</v>
      </c>
      <c r="O1427" s="224">
        <f t="shared" si="641"/>
        <v>0</v>
      </c>
      <c r="P1427" s="224">
        <f t="shared" si="642"/>
        <v>0</v>
      </c>
      <c r="Q1427" s="205"/>
    </row>
    <row r="1428" spans="1:17" hidden="1" outlineLevel="1">
      <c r="A1428" s="271" t="s">
        <v>1201</v>
      </c>
      <c r="B1428" s="1346" t="s">
        <v>595</v>
      </c>
      <c r="C1428" s="1332">
        <v>891</v>
      </c>
      <c r="D1428" s="1313" t="s">
        <v>432</v>
      </c>
      <c r="E1428" s="1347" t="s">
        <v>349</v>
      </c>
      <c r="F1428" s="1313" t="s">
        <v>429</v>
      </c>
      <c r="G1428" s="1349">
        <v>9.3490000000000004E-2</v>
      </c>
      <c r="H1428" s="222">
        <f t="shared" si="630"/>
        <v>1902.536913097091</v>
      </c>
      <c r="I1428" s="1491">
        <f t="shared" si="635"/>
        <v>1902.536913097091</v>
      </c>
      <c r="J1428" s="1491"/>
      <c r="K1428" s="1491"/>
      <c r="L1428" s="1347" t="s">
        <v>349</v>
      </c>
      <c r="M1428" s="223">
        <f t="shared" si="631"/>
        <v>177.86817600544705</v>
      </c>
      <c r="N1428" s="224">
        <f t="shared" si="640"/>
        <v>177.86817600544705</v>
      </c>
      <c r="O1428" s="224">
        <f t="shared" si="641"/>
        <v>0</v>
      </c>
      <c r="P1428" s="224">
        <f t="shared" si="642"/>
        <v>0</v>
      </c>
      <c r="Q1428" s="205"/>
    </row>
    <row r="1429" spans="1:17" hidden="1" outlineLevel="1">
      <c r="A1429" s="271" t="s">
        <v>1201</v>
      </c>
      <c r="B1429" s="1346" t="s">
        <v>606</v>
      </c>
      <c r="C1429" s="1332">
        <v>892</v>
      </c>
      <c r="D1429" s="1313" t="s">
        <v>432</v>
      </c>
      <c r="E1429" s="1347" t="s">
        <v>349</v>
      </c>
      <c r="F1429" s="1313" t="s">
        <v>429</v>
      </c>
      <c r="G1429" s="1349">
        <v>9.3490000000000004E-2</v>
      </c>
      <c r="H1429" s="222">
        <f t="shared" si="630"/>
        <v>6051.0687188661686</v>
      </c>
      <c r="I1429" s="1491">
        <f t="shared" si="635"/>
        <v>6051.0687188661686</v>
      </c>
      <c r="J1429" s="1491"/>
      <c r="K1429" s="1491"/>
      <c r="L1429" s="1347" t="s">
        <v>349</v>
      </c>
      <c r="M1429" s="223">
        <f t="shared" si="631"/>
        <v>565.71441452679812</v>
      </c>
      <c r="N1429" s="224">
        <f t="shared" si="640"/>
        <v>565.71441452679812</v>
      </c>
      <c r="O1429" s="224">
        <f t="shared" si="641"/>
        <v>0</v>
      </c>
      <c r="P1429" s="224">
        <f t="shared" si="642"/>
        <v>0</v>
      </c>
      <c r="Q1429" s="205"/>
    </row>
    <row r="1430" spans="1:17" hidden="1" outlineLevel="1">
      <c r="A1430" s="271" t="s">
        <v>1201</v>
      </c>
      <c r="B1430" s="1346" t="s">
        <v>1302</v>
      </c>
      <c r="C1430" s="1332">
        <v>708</v>
      </c>
      <c r="D1430" s="1313" t="s">
        <v>432</v>
      </c>
      <c r="E1430" s="1347" t="s">
        <v>349</v>
      </c>
      <c r="F1430" s="1313" t="s">
        <v>430</v>
      </c>
      <c r="G1430" s="1349">
        <v>9.9339999999999998E-2</v>
      </c>
      <c r="H1430" s="222">
        <f t="shared" ref="H1430:H1439" si="643">SUM(I1430:K1430)</f>
        <v>0</v>
      </c>
      <c r="I1430" s="1491">
        <f t="shared" si="635"/>
        <v>0</v>
      </c>
      <c r="J1430" s="1491"/>
      <c r="K1430" s="1491"/>
      <c r="L1430" s="1347" t="s">
        <v>349</v>
      </c>
      <c r="M1430" s="223">
        <f t="shared" ref="M1430:M1486" si="644">SUM(N1430:P1430)</f>
        <v>0</v>
      </c>
      <c r="N1430" s="224">
        <f t="shared" si="640"/>
        <v>0</v>
      </c>
      <c r="O1430" s="224">
        <f t="shared" si="641"/>
        <v>0</v>
      </c>
      <c r="P1430" s="224">
        <f t="shared" si="642"/>
        <v>0</v>
      </c>
      <c r="Q1430" s="205"/>
    </row>
    <row r="1431" spans="1:17" hidden="1" outlineLevel="1">
      <c r="A1431" s="271" t="s">
        <v>1201</v>
      </c>
      <c r="B1431" s="1346" t="s">
        <v>414</v>
      </c>
      <c r="C1431" s="1332">
        <v>16757</v>
      </c>
      <c r="D1431" s="1313" t="s">
        <v>432</v>
      </c>
      <c r="E1431" s="1347" t="s">
        <v>349</v>
      </c>
      <c r="F1431" s="1313" t="s">
        <v>429</v>
      </c>
      <c r="G1431" s="1349">
        <v>9.3490000000000004E-2</v>
      </c>
      <c r="H1431" s="222">
        <f t="shared" si="643"/>
        <v>1341.789191342159</v>
      </c>
      <c r="I1431" s="1491">
        <f t="shared" si="635"/>
        <v>1341.789191342159</v>
      </c>
      <c r="J1431" s="1491"/>
      <c r="K1431" s="1491"/>
      <c r="L1431" s="1347" t="s">
        <v>349</v>
      </c>
      <c r="M1431" s="223">
        <f t="shared" si="644"/>
        <v>125.44387149857845</v>
      </c>
      <c r="N1431" s="224">
        <f t="shared" si="640"/>
        <v>125.44387149857845</v>
      </c>
      <c r="O1431" s="224">
        <f t="shared" si="641"/>
        <v>0</v>
      </c>
      <c r="P1431" s="224">
        <f t="shared" si="642"/>
        <v>0</v>
      </c>
      <c r="Q1431" s="205"/>
    </row>
    <row r="1432" spans="1:17" hidden="1" outlineLevel="1">
      <c r="A1432" s="271" t="s">
        <v>1201</v>
      </c>
      <c r="B1432" s="1346" t="s">
        <v>596</v>
      </c>
      <c r="C1432" s="1332">
        <v>878</v>
      </c>
      <c r="D1432" s="1313" t="s">
        <v>432</v>
      </c>
      <c r="E1432" s="1347" t="s">
        <v>349</v>
      </c>
      <c r="F1432" s="1313" t="s">
        <v>429</v>
      </c>
      <c r="G1432" s="1349">
        <v>9.3490000000000004E-2</v>
      </c>
      <c r="H1432" s="222">
        <f t="shared" si="643"/>
        <v>7850.4681045690495</v>
      </c>
      <c r="I1432" s="1491">
        <f t="shared" si="635"/>
        <v>7850.4681045690495</v>
      </c>
      <c r="J1432" s="1491"/>
      <c r="K1432" s="1491"/>
      <c r="L1432" s="1347" t="s">
        <v>349</v>
      </c>
      <c r="M1432" s="223">
        <f t="shared" si="644"/>
        <v>733.94026309616049</v>
      </c>
      <c r="N1432" s="224">
        <f t="shared" si="640"/>
        <v>733.94026309616049</v>
      </c>
      <c r="O1432" s="224">
        <f t="shared" si="641"/>
        <v>0</v>
      </c>
      <c r="P1432" s="224">
        <f t="shared" si="642"/>
        <v>0</v>
      </c>
      <c r="Q1432" s="205"/>
    </row>
    <row r="1433" spans="1:17" hidden="1" outlineLevel="1">
      <c r="A1433" s="271" t="s">
        <v>1201</v>
      </c>
      <c r="B1433" s="1346" t="s">
        <v>597</v>
      </c>
      <c r="C1433" s="1332">
        <v>879</v>
      </c>
      <c r="D1433" s="1313" t="s">
        <v>432</v>
      </c>
      <c r="E1433" s="1347" t="s">
        <v>349</v>
      </c>
      <c r="F1433" s="1313" t="s">
        <v>429</v>
      </c>
      <c r="G1433" s="1349">
        <v>9.3490000000000004E-2</v>
      </c>
      <c r="H1433" s="222">
        <f t="shared" si="643"/>
        <v>6042.0567019093933</v>
      </c>
      <c r="I1433" s="1491">
        <f t="shared" si="635"/>
        <v>6042.0567019093933</v>
      </c>
      <c r="J1433" s="1491"/>
      <c r="K1433" s="1491"/>
      <c r="L1433" s="1347" t="s">
        <v>349</v>
      </c>
      <c r="M1433" s="223">
        <f t="shared" si="644"/>
        <v>564.87188106150916</v>
      </c>
      <c r="N1433" s="224">
        <f t="shared" si="640"/>
        <v>564.87188106150916</v>
      </c>
      <c r="O1433" s="224">
        <f t="shared" si="641"/>
        <v>0</v>
      </c>
      <c r="P1433" s="224">
        <f t="shared" si="642"/>
        <v>0</v>
      </c>
      <c r="Q1433" s="205"/>
    </row>
    <row r="1434" spans="1:17" hidden="1" outlineLevel="1">
      <c r="A1434" s="271" t="s">
        <v>1201</v>
      </c>
      <c r="B1434" s="1346" t="s">
        <v>598</v>
      </c>
      <c r="C1434" s="1332">
        <v>880</v>
      </c>
      <c r="D1434" s="1313" t="s">
        <v>432</v>
      </c>
      <c r="E1434" s="1347" t="s">
        <v>349</v>
      </c>
      <c r="F1434" s="1313" t="s">
        <v>429</v>
      </c>
      <c r="G1434" s="1349">
        <v>9.3490000000000004E-2</v>
      </c>
      <c r="H1434" s="222">
        <f t="shared" si="643"/>
        <v>2006.6757757087212</v>
      </c>
      <c r="I1434" s="1491">
        <f t="shared" si="635"/>
        <v>2006.6757757087212</v>
      </c>
      <c r="J1434" s="1491"/>
      <c r="K1434" s="1491"/>
      <c r="L1434" s="1347" t="s">
        <v>349</v>
      </c>
      <c r="M1434" s="223">
        <f t="shared" si="644"/>
        <v>187.60411827100836</v>
      </c>
      <c r="N1434" s="224">
        <f t="shared" si="640"/>
        <v>187.60411827100836</v>
      </c>
      <c r="O1434" s="224">
        <f t="shared" si="641"/>
        <v>0</v>
      </c>
      <c r="P1434" s="224">
        <f t="shared" si="642"/>
        <v>0</v>
      </c>
      <c r="Q1434" s="205"/>
    </row>
    <row r="1435" spans="1:17" hidden="1" outlineLevel="1">
      <c r="A1435" s="271" t="s">
        <v>1201</v>
      </c>
      <c r="B1435" s="1346" t="s">
        <v>599</v>
      </c>
      <c r="C1435" s="1332">
        <v>4650</v>
      </c>
      <c r="D1435" s="1313" t="s">
        <v>432</v>
      </c>
      <c r="E1435" s="1347" t="s">
        <v>349</v>
      </c>
      <c r="F1435" s="1313" t="s">
        <v>429</v>
      </c>
      <c r="G1435" s="1349">
        <v>9.3490000000000004E-2</v>
      </c>
      <c r="H1435" s="222">
        <f t="shared" si="643"/>
        <v>7850.4681045690495</v>
      </c>
      <c r="I1435" s="1491">
        <f t="shared" si="635"/>
        <v>7850.4681045690495</v>
      </c>
      <c r="J1435" s="1491"/>
      <c r="K1435" s="1491"/>
      <c r="L1435" s="1347" t="s">
        <v>349</v>
      </c>
      <c r="M1435" s="223">
        <f t="shared" si="644"/>
        <v>733.94026309616049</v>
      </c>
      <c r="N1435" s="224">
        <f t="shared" si="640"/>
        <v>733.94026309616049</v>
      </c>
      <c r="O1435" s="224">
        <f t="shared" si="641"/>
        <v>0</v>
      </c>
      <c r="P1435" s="224">
        <f t="shared" si="642"/>
        <v>0</v>
      </c>
      <c r="Q1435" s="205"/>
    </row>
    <row r="1436" spans="1:17" hidden="1" outlineLevel="1">
      <c r="A1436" s="271" t="s">
        <v>1201</v>
      </c>
      <c r="B1436" s="1346" t="s">
        <v>1303</v>
      </c>
      <c r="C1436" s="1332">
        <v>14114</v>
      </c>
      <c r="D1436" s="1313" t="s">
        <v>432</v>
      </c>
      <c r="E1436" s="1347" t="s">
        <v>349</v>
      </c>
      <c r="F1436" s="1313" t="s">
        <v>430</v>
      </c>
      <c r="G1436" s="1349">
        <v>9.9339999999999998E-2</v>
      </c>
      <c r="H1436" s="222">
        <f t="shared" si="643"/>
        <v>7738.3185602180629</v>
      </c>
      <c r="I1436" s="1491">
        <f t="shared" si="635"/>
        <v>7738.3185602180629</v>
      </c>
      <c r="J1436" s="1491"/>
      <c r="K1436" s="1491"/>
      <c r="L1436" s="1347" t="s">
        <v>349</v>
      </c>
      <c r="M1436" s="223">
        <f t="shared" si="644"/>
        <v>768.72456577206231</v>
      </c>
      <c r="N1436" s="224">
        <f t="shared" si="640"/>
        <v>768.72456577206231</v>
      </c>
      <c r="O1436" s="224">
        <f t="shared" si="641"/>
        <v>0</v>
      </c>
      <c r="P1436" s="224">
        <f t="shared" si="642"/>
        <v>0</v>
      </c>
      <c r="Q1436" s="205"/>
    </row>
    <row r="1437" spans="1:17" hidden="1" outlineLevel="1">
      <c r="A1437" s="271" t="s">
        <v>1201</v>
      </c>
      <c r="B1437" s="1346" t="s">
        <v>1303</v>
      </c>
      <c r="C1437" s="1332">
        <v>14114</v>
      </c>
      <c r="D1437" s="1313" t="s">
        <v>432</v>
      </c>
      <c r="E1437" s="1347" t="s">
        <v>349</v>
      </c>
      <c r="F1437" s="1313" t="s">
        <v>430</v>
      </c>
      <c r="G1437" s="1349">
        <v>0.18418000000000001</v>
      </c>
      <c r="H1437" s="222">
        <f t="shared" si="643"/>
        <v>5843.7923288603279</v>
      </c>
      <c r="I1437" s="1491">
        <f t="shared" si="635"/>
        <v>5843.7923288603279</v>
      </c>
      <c r="J1437" s="1491"/>
      <c r="K1437" s="1491"/>
      <c r="L1437" s="1347" t="s">
        <v>349</v>
      </c>
      <c r="M1437" s="223">
        <f t="shared" si="644"/>
        <v>1076.3096711294952</v>
      </c>
      <c r="N1437" s="224">
        <f t="shared" si="640"/>
        <v>1076.3096711294952</v>
      </c>
      <c r="O1437" s="224">
        <f t="shared" si="641"/>
        <v>0</v>
      </c>
      <c r="P1437" s="224">
        <f t="shared" si="642"/>
        <v>0</v>
      </c>
      <c r="Q1437" s="205"/>
    </row>
    <row r="1438" spans="1:17" hidden="1" outlineLevel="1">
      <c r="A1438" s="271" t="s">
        <v>1201</v>
      </c>
      <c r="B1438" s="1346" t="s">
        <v>600</v>
      </c>
      <c r="C1438" s="1332">
        <v>969</v>
      </c>
      <c r="D1438" s="1313" t="s">
        <v>432</v>
      </c>
      <c r="E1438" s="1347" t="s">
        <v>349</v>
      </c>
      <c r="F1438" s="1313" t="s">
        <v>429</v>
      </c>
      <c r="G1438" s="1349">
        <v>9.3490000000000004E-2</v>
      </c>
      <c r="H1438" s="222">
        <f t="shared" si="643"/>
        <v>8773.6991750298475</v>
      </c>
      <c r="I1438" s="1491">
        <f t="shared" si="635"/>
        <v>8773.6991750298475</v>
      </c>
      <c r="J1438" s="1491"/>
      <c r="K1438" s="1491"/>
      <c r="L1438" s="1347" t="s">
        <v>349</v>
      </c>
      <c r="M1438" s="223">
        <f t="shared" si="644"/>
        <v>820.25313587354049</v>
      </c>
      <c r="N1438" s="224">
        <f t="shared" si="640"/>
        <v>820.25313587354049</v>
      </c>
      <c r="O1438" s="224">
        <f t="shared" si="641"/>
        <v>0</v>
      </c>
      <c r="P1438" s="224">
        <f t="shared" si="642"/>
        <v>0</v>
      </c>
      <c r="Q1438" s="205"/>
    </row>
    <row r="1439" spans="1:17" hidden="1" outlineLevel="1">
      <c r="A1439" s="271" t="s">
        <v>1201</v>
      </c>
      <c r="B1439" s="1346" t="s">
        <v>601</v>
      </c>
      <c r="C1439" s="1332">
        <v>1003</v>
      </c>
      <c r="D1439" s="1313" t="s">
        <v>432</v>
      </c>
      <c r="E1439" s="1347" t="s">
        <v>349</v>
      </c>
      <c r="F1439" s="1313" t="s">
        <v>430</v>
      </c>
      <c r="G1439" s="1349">
        <v>9.9339999999999998E-2</v>
      </c>
      <c r="H1439" s="222">
        <f t="shared" si="643"/>
        <v>5110.8149497092381</v>
      </c>
      <c r="I1439" s="1491">
        <f t="shared" si="635"/>
        <v>5110.8149497092381</v>
      </c>
      <c r="J1439" s="1491"/>
      <c r="K1439" s="1491"/>
      <c r="L1439" s="1347" t="s">
        <v>349</v>
      </c>
      <c r="M1439" s="223">
        <f t="shared" si="644"/>
        <v>507.70835710411569</v>
      </c>
      <c r="N1439" s="224">
        <f t="shared" si="640"/>
        <v>507.70835710411569</v>
      </c>
      <c r="O1439" s="224">
        <f t="shared" si="641"/>
        <v>0</v>
      </c>
      <c r="P1439" s="224">
        <f t="shared" si="642"/>
        <v>0</v>
      </c>
      <c r="Q1439" s="205"/>
    </row>
    <row r="1440" spans="1:17" hidden="1" outlineLevel="1">
      <c r="A1440" s="271" t="s">
        <v>1201</v>
      </c>
      <c r="B1440" s="1346" t="s">
        <v>416</v>
      </c>
      <c r="C1440" s="1332">
        <v>881</v>
      </c>
      <c r="D1440" s="1313" t="s">
        <v>432</v>
      </c>
      <c r="E1440" s="1347" t="s">
        <v>349</v>
      </c>
      <c r="F1440" s="1313" t="s">
        <v>429</v>
      </c>
      <c r="G1440" s="1349">
        <v>9.3490000000000004E-2</v>
      </c>
      <c r="H1440" s="222">
        <f t="shared" ref="H1440:H1460" si="645">SUM(I1440:K1440)</f>
        <v>963.28447915757977</v>
      </c>
      <c r="I1440" s="1491">
        <f t="shared" si="635"/>
        <v>963.28447915757977</v>
      </c>
      <c r="J1440" s="1491"/>
      <c r="K1440" s="1491"/>
      <c r="L1440" s="1347" t="s">
        <v>349</v>
      </c>
      <c r="M1440" s="223">
        <f t="shared" si="644"/>
        <v>90.05746595644213</v>
      </c>
      <c r="N1440" s="224">
        <f t="shared" si="640"/>
        <v>90.05746595644213</v>
      </c>
      <c r="O1440" s="224">
        <f t="shared" si="641"/>
        <v>0</v>
      </c>
      <c r="P1440" s="224">
        <f t="shared" si="642"/>
        <v>0</v>
      </c>
      <c r="Q1440" s="205"/>
    </row>
    <row r="1441" spans="1:18" hidden="1" outlineLevel="1">
      <c r="A1441" s="271" t="s">
        <v>1201</v>
      </c>
      <c r="B1441" s="1346" t="s">
        <v>417</v>
      </c>
      <c r="C1441" s="1332">
        <v>832</v>
      </c>
      <c r="D1441" s="1313" t="s">
        <v>432</v>
      </c>
      <c r="E1441" s="1347" t="s">
        <v>349</v>
      </c>
      <c r="F1441" s="1313" t="s">
        <v>429</v>
      </c>
      <c r="G1441" s="1349">
        <v>9.3490000000000004E-2</v>
      </c>
      <c r="H1441" s="222">
        <f t="shared" si="645"/>
        <v>304.40590609553453</v>
      </c>
      <c r="I1441" s="1491">
        <f t="shared" si="635"/>
        <v>304.40590609553453</v>
      </c>
      <c r="J1441" s="1491"/>
      <c r="K1441" s="1491"/>
      <c r="L1441" s="1347" t="s">
        <v>349</v>
      </c>
      <c r="M1441" s="223">
        <f t="shared" si="644"/>
        <v>28.458908160871523</v>
      </c>
      <c r="N1441" s="224">
        <f t="shared" si="640"/>
        <v>28.458908160871523</v>
      </c>
      <c r="O1441" s="224">
        <f t="shared" si="641"/>
        <v>0</v>
      </c>
      <c r="P1441" s="224">
        <f t="shared" si="642"/>
        <v>0</v>
      </c>
      <c r="Q1441" s="205"/>
    </row>
    <row r="1442" spans="1:18" hidden="1" outlineLevel="1">
      <c r="A1442" s="271" t="s">
        <v>1201</v>
      </c>
      <c r="B1442" s="1346" t="s">
        <v>418</v>
      </c>
      <c r="C1442" s="1332">
        <v>1138</v>
      </c>
      <c r="D1442" s="1313" t="s">
        <v>432</v>
      </c>
      <c r="E1442" s="1347" t="s">
        <v>349</v>
      </c>
      <c r="F1442" s="1313" t="s">
        <v>430</v>
      </c>
      <c r="G1442" s="1349">
        <v>9.9339999999999998E-2</v>
      </c>
      <c r="H1442" s="222">
        <f t="shared" si="645"/>
        <v>10748.332223781144</v>
      </c>
      <c r="I1442" s="1491">
        <f t="shared" si="635"/>
        <v>10748.332223781144</v>
      </c>
      <c r="J1442" s="1491"/>
      <c r="K1442" s="1491"/>
      <c r="L1442" s="1347" t="s">
        <v>349</v>
      </c>
      <c r="M1442" s="223">
        <f t="shared" si="644"/>
        <v>1067.7393231104188</v>
      </c>
      <c r="N1442" s="224">
        <f t="shared" si="640"/>
        <v>1067.7393231104188</v>
      </c>
      <c r="O1442" s="224">
        <f t="shared" si="641"/>
        <v>0</v>
      </c>
      <c r="P1442" s="224">
        <f t="shared" si="642"/>
        <v>0</v>
      </c>
      <c r="Q1442" s="205"/>
    </row>
    <row r="1443" spans="1:18" hidden="1" outlineLevel="1">
      <c r="A1443" s="271" t="s">
        <v>1201</v>
      </c>
      <c r="B1443" s="1346" t="s">
        <v>419</v>
      </c>
      <c r="C1443" s="1332">
        <v>1010</v>
      </c>
      <c r="D1443" s="1313" t="s">
        <v>432</v>
      </c>
      <c r="E1443" s="1347" t="s">
        <v>349</v>
      </c>
      <c r="F1443" s="1313" t="s">
        <v>430</v>
      </c>
      <c r="G1443" s="1349">
        <v>9.9339999999999998E-2</v>
      </c>
      <c r="H1443" s="222">
        <f t="shared" si="645"/>
        <v>0</v>
      </c>
      <c r="I1443" s="1491">
        <f t="shared" si="635"/>
        <v>0</v>
      </c>
      <c r="J1443" s="1491"/>
      <c r="K1443" s="1491"/>
      <c r="L1443" s="1347" t="s">
        <v>349</v>
      </c>
      <c r="M1443" s="223">
        <f t="shared" si="644"/>
        <v>0</v>
      </c>
      <c r="N1443" s="224">
        <f t="shared" si="640"/>
        <v>0</v>
      </c>
      <c r="O1443" s="224">
        <f t="shared" si="641"/>
        <v>0</v>
      </c>
      <c r="P1443" s="224">
        <f t="shared" si="642"/>
        <v>0</v>
      </c>
      <c r="Q1443" s="205"/>
    </row>
    <row r="1444" spans="1:18" hidden="1" outlineLevel="1">
      <c r="A1444" s="271" t="s">
        <v>1201</v>
      </c>
      <c r="B1444" s="1346" t="s">
        <v>420</v>
      </c>
      <c r="C1444" s="1332">
        <v>16476</v>
      </c>
      <c r="D1444" s="1313" t="s">
        <v>432</v>
      </c>
      <c r="E1444" s="1347" t="s">
        <v>349</v>
      </c>
      <c r="F1444" s="1313" t="s">
        <v>430</v>
      </c>
      <c r="G1444" s="1349">
        <v>9.9339999999999998E-2</v>
      </c>
      <c r="H1444" s="222">
        <f t="shared" si="645"/>
        <v>350.46732609683255</v>
      </c>
      <c r="I1444" s="1491">
        <f t="shared" si="635"/>
        <v>350.46732609683255</v>
      </c>
      <c r="J1444" s="1491"/>
      <c r="K1444" s="1491"/>
      <c r="L1444" s="1347" t="s">
        <v>349</v>
      </c>
      <c r="M1444" s="223">
        <f t="shared" si="644"/>
        <v>34.815424174459345</v>
      </c>
      <c r="N1444" s="224">
        <f t="shared" si="640"/>
        <v>34.815424174459345</v>
      </c>
      <c r="O1444" s="224">
        <f t="shared" si="641"/>
        <v>0</v>
      </c>
      <c r="P1444" s="224">
        <f t="shared" si="642"/>
        <v>0</v>
      </c>
      <c r="Q1444" s="205"/>
    </row>
    <row r="1445" spans="1:18" hidden="1" outlineLevel="1">
      <c r="A1445" s="271" t="s">
        <v>1201</v>
      </c>
      <c r="B1445" s="1346" t="s">
        <v>602</v>
      </c>
      <c r="C1445" s="1332">
        <v>965</v>
      </c>
      <c r="D1445" s="1313" t="s">
        <v>432</v>
      </c>
      <c r="E1445" s="1347" t="s">
        <v>349</v>
      </c>
      <c r="F1445" s="1313" t="s">
        <v>429</v>
      </c>
      <c r="G1445" s="1349">
        <v>9.3490000000000004E-2</v>
      </c>
      <c r="H1445" s="222">
        <f t="shared" si="645"/>
        <v>1374.8332535170032</v>
      </c>
      <c r="I1445" s="1491">
        <f t="shared" si="635"/>
        <v>1374.8332535170032</v>
      </c>
      <c r="J1445" s="1491"/>
      <c r="K1445" s="1491"/>
      <c r="L1445" s="1347" t="s">
        <v>349</v>
      </c>
      <c r="M1445" s="223">
        <f t="shared" si="644"/>
        <v>128.53316087130463</v>
      </c>
      <c r="N1445" s="224">
        <f t="shared" si="640"/>
        <v>128.53316087130463</v>
      </c>
      <c r="O1445" s="224">
        <f t="shared" si="641"/>
        <v>0</v>
      </c>
      <c r="P1445" s="224">
        <f t="shared" si="642"/>
        <v>0</v>
      </c>
      <c r="Q1445" s="205"/>
    </row>
    <row r="1446" spans="1:18" hidden="1" outlineLevel="1">
      <c r="A1446" s="271" t="s">
        <v>1201</v>
      </c>
      <c r="B1446" s="1346" t="s">
        <v>603</v>
      </c>
      <c r="C1446" s="1332">
        <v>968</v>
      </c>
      <c r="D1446" s="1313" t="s">
        <v>432</v>
      </c>
      <c r="E1446" s="1347" t="s">
        <v>349</v>
      </c>
      <c r="F1446" s="1313" t="s">
        <v>429</v>
      </c>
      <c r="G1446" s="1349">
        <v>9.3490000000000004E-2</v>
      </c>
      <c r="H1446" s="222">
        <f t="shared" si="645"/>
        <v>1434.9133665621744</v>
      </c>
      <c r="I1446" s="1491">
        <f t="shared" si="635"/>
        <v>1434.9133665621744</v>
      </c>
      <c r="J1446" s="1491"/>
      <c r="K1446" s="1491"/>
      <c r="L1446" s="1347" t="s">
        <v>349</v>
      </c>
      <c r="M1446" s="223">
        <f t="shared" si="644"/>
        <v>134.1500506398977</v>
      </c>
      <c r="N1446" s="224">
        <f t="shared" si="640"/>
        <v>134.1500506398977</v>
      </c>
      <c r="O1446" s="224">
        <f t="shared" si="641"/>
        <v>0</v>
      </c>
      <c r="P1446" s="224">
        <f t="shared" si="642"/>
        <v>0</v>
      </c>
      <c r="Q1446" s="205"/>
    </row>
    <row r="1447" spans="1:18" hidden="1" outlineLevel="1">
      <c r="A1447" s="271" t="s">
        <v>1201</v>
      </c>
      <c r="B1447" s="1346" t="s">
        <v>421</v>
      </c>
      <c r="C1447" s="1332">
        <v>964</v>
      </c>
      <c r="D1447" s="1313" t="s">
        <v>432</v>
      </c>
      <c r="E1447" s="1347" t="s">
        <v>349</v>
      </c>
      <c r="F1447" s="1313" t="s">
        <v>429</v>
      </c>
      <c r="G1447" s="1349">
        <v>9.3490000000000004E-2</v>
      </c>
      <c r="H1447" s="222">
        <f t="shared" si="645"/>
        <v>98.130851307113119</v>
      </c>
      <c r="I1447" s="1491">
        <f t="shared" si="635"/>
        <v>98.130851307113119</v>
      </c>
      <c r="J1447" s="1491"/>
      <c r="K1447" s="1491"/>
      <c r="L1447" s="1347" t="s">
        <v>349</v>
      </c>
      <c r="M1447" s="223">
        <f t="shared" si="644"/>
        <v>9.1742532887020065</v>
      </c>
      <c r="N1447" s="224">
        <f t="shared" si="640"/>
        <v>9.1742532887020065</v>
      </c>
      <c r="O1447" s="224">
        <f t="shared" si="641"/>
        <v>0</v>
      </c>
      <c r="P1447" s="224">
        <f t="shared" si="642"/>
        <v>0</v>
      </c>
      <c r="Q1447" s="205"/>
    </row>
    <row r="1448" spans="1:18" hidden="1" outlineLevel="1">
      <c r="A1448" s="271" t="s">
        <v>1201</v>
      </c>
      <c r="B1448" s="1346" t="s">
        <v>422</v>
      </c>
      <c r="C1448" s="1332">
        <v>16477</v>
      </c>
      <c r="D1448" s="1313" t="s">
        <v>432</v>
      </c>
      <c r="E1448" s="1347" t="s">
        <v>349</v>
      </c>
      <c r="F1448" s="1313" t="s">
        <v>430</v>
      </c>
      <c r="G1448" s="1349">
        <v>9.9339999999999998E-2</v>
      </c>
      <c r="H1448" s="222">
        <f t="shared" si="645"/>
        <v>93.124175220015502</v>
      </c>
      <c r="I1448" s="1491">
        <f t="shared" si="635"/>
        <v>93.124175220015502</v>
      </c>
      <c r="J1448" s="1491"/>
      <c r="K1448" s="1491"/>
      <c r="L1448" s="1347" t="s">
        <v>349</v>
      </c>
      <c r="M1448" s="223">
        <f t="shared" si="644"/>
        <v>9.250955566356339</v>
      </c>
      <c r="N1448" s="224">
        <f t="shared" si="640"/>
        <v>9.250955566356339</v>
      </c>
      <c r="O1448" s="224">
        <f t="shared" si="641"/>
        <v>0</v>
      </c>
      <c r="P1448" s="224">
        <f t="shared" si="642"/>
        <v>0</v>
      </c>
      <c r="Q1448" s="205"/>
    </row>
    <row r="1449" spans="1:18" hidden="1" outlineLevel="1">
      <c r="A1449" s="271" t="s">
        <v>1201</v>
      </c>
      <c r="B1449" s="1346" t="s">
        <v>423</v>
      </c>
      <c r="C1449" s="1332">
        <v>703</v>
      </c>
      <c r="D1449" s="1313" t="s">
        <v>432</v>
      </c>
      <c r="E1449" s="1347" t="s">
        <v>349</v>
      </c>
      <c r="F1449" s="1313" t="s">
        <v>430</v>
      </c>
      <c r="G1449" s="1349">
        <v>9.9339999999999998E-2</v>
      </c>
      <c r="H1449" s="222">
        <f t="shared" si="645"/>
        <v>1937.5836457067742</v>
      </c>
      <c r="I1449" s="1491">
        <f t="shared" si="635"/>
        <v>1937.5836457067742</v>
      </c>
      <c r="J1449" s="1491"/>
      <c r="K1449" s="1491"/>
      <c r="L1449" s="1347" t="s">
        <v>349</v>
      </c>
      <c r="M1449" s="223">
        <f t="shared" si="644"/>
        <v>192.47955936451095</v>
      </c>
      <c r="N1449" s="224">
        <f t="shared" si="640"/>
        <v>192.47955936451095</v>
      </c>
      <c r="O1449" s="224">
        <f t="shared" si="641"/>
        <v>0</v>
      </c>
      <c r="P1449" s="224">
        <f t="shared" si="642"/>
        <v>0</v>
      </c>
      <c r="Q1449" s="205"/>
    </row>
    <row r="1450" spans="1:18" hidden="1" outlineLevel="1">
      <c r="A1450" s="271" t="s">
        <v>1201</v>
      </c>
      <c r="B1450" s="1346" t="s">
        <v>604</v>
      </c>
      <c r="C1450" s="1332">
        <v>707</v>
      </c>
      <c r="D1450" s="1313" t="s">
        <v>432</v>
      </c>
      <c r="E1450" s="1347" t="s">
        <v>349</v>
      </c>
      <c r="F1450" s="1313" t="s">
        <v>430</v>
      </c>
      <c r="G1450" s="1349">
        <v>9.9339999999999998E-2</v>
      </c>
      <c r="H1450" s="222">
        <f t="shared" si="645"/>
        <v>9664.8875185332217</v>
      </c>
      <c r="I1450" s="1491">
        <f t="shared" si="635"/>
        <v>9664.8875185332217</v>
      </c>
      <c r="J1450" s="1491"/>
      <c r="K1450" s="1491"/>
      <c r="L1450" s="1347" t="s">
        <v>349</v>
      </c>
      <c r="M1450" s="223">
        <f t="shared" si="644"/>
        <v>960.10992609109019</v>
      </c>
      <c r="N1450" s="224">
        <f t="shared" si="640"/>
        <v>960.10992609109019</v>
      </c>
      <c r="O1450" s="224">
        <f t="shared" si="641"/>
        <v>0</v>
      </c>
      <c r="P1450" s="224">
        <f t="shared" si="642"/>
        <v>0</v>
      </c>
      <c r="Q1450" s="205"/>
    </row>
    <row r="1451" spans="1:18" hidden="1" outlineLevel="1">
      <c r="A1451" s="271" t="s">
        <v>1201</v>
      </c>
      <c r="B1451" s="1356" t="s">
        <v>466</v>
      </c>
      <c r="C1451" s="1334">
        <v>15025</v>
      </c>
      <c r="D1451" s="1313" t="s">
        <v>432</v>
      </c>
      <c r="E1451" s="1357" t="s">
        <v>349</v>
      </c>
      <c r="F1451" s="1317" t="s">
        <v>430</v>
      </c>
      <c r="G1451" s="1348">
        <v>9.9339999999999998E-2</v>
      </c>
      <c r="H1451" s="222">
        <f t="shared" si="645"/>
        <v>1651.2017735247912</v>
      </c>
      <c r="I1451" s="1491">
        <f t="shared" ref="I1451:I1482" si="646">I1149*(100%+$I$1354)</f>
        <v>1651.2017735247912</v>
      </c>
      <c r="J1451" s="1491"/>
      <c r="K1451" s="1491"/>
      <c r="L1451" s="1347" t="s">
        <v>349</v>
      </c>
      <c r="M1451" s="223">
        <f t="shared" si="644"/>
        <v>164.03038418195274</v>
      </c>
      <c r="N1451" s="224">
        <f t="shared" si="640"/>
        <v>164.03038418195274</v>
      </c>
      <c r="O1451" s="224">
        <f t="shared" si="641"/>
        <v>0</v>
      </c>
      <c r="P1451" s="224">
        <f t="shared" si="642"/>
        <v>0</v>
      </c>
      <c r="Q1451" s="205"/>
    </row>
    <row r="1452" spans="1:18" hidden="1" outlineLevel="1">
      <c r="A1452" s="271" t="s">
        <v>1201</v>
      </c>
      <c r="B1452" s="1346" t="s">
        <v>659</v>
      </c>
      <c r="C1452" s="1332">
        <v>51778</v>
      </c>
      <c r="D1452" s="1313" t="s">
        <v>432</v>
      </c>
      <c r="E1452" s="1347" t="s">
        <v>349</v>
      </c>
      <c r="F1452" s="1313" t="s">
        <v>430</v>
      </c>
      <c r="G1452" s="1349">
        <v>9.9339999999999998E-2</v>
      </c>
      <c r="H1452" s="222">
        <f t="shared" si="645"/>
        <v>722.96402697689462</v>
      </c>
      <c r="I1452" s="1491">
        <f t="shared" si="646"/>
        <v>722.96402697689462</v>
      </c>
      <c r="J1452" s="1491"/>
      <c r="K1452" s="1491"/>
      <c r="L1452" s="1347" t="s">
        <v>349</v>
      </c>
      <c r="M1452" s="223">
        <f t="shared" si="644"/>
        <v>71.819246439884708</v>
      </c>
      <c r="N1452" s="224">
        <f t="shared" si="640"/>
        <v>71.819246439884708</v>
      </c>
      <c r="O1452" s="224">
        <f t="shared" si="641"/>
        <v>0</v>
      </c>
      <c r="P1452" s="224">
        <f t="shared" si="642"/>
        <v>0</v>
      </c>
      <c r="Q1452" s="205"/>
    </row>
    <row r="1453" spans="1:18" hidden="1" outlineLevel="1">
      <c r="A1453" s="225" t="s">
        <v>1201</v>
      </c>
      <c r="B1453" s="1350" t="s">
        <v>461</v>
      </c>
      <c r="C1453" s="1336">
        <v>60447</v>
      </c>
      <c r="D1453" s="1321" t="s">
        <v>432</v>
      </c>
      <c r="E1453" s="1351" t="s">
        <v>349</v>
      </c>
      <c r="F1453" s="1321" t="s">
        <v>430</v>
      </c>
      <c r="G1453" s="1352">
        <v>9.9339999999999998E-2</v>
      </c>
      <c r="H1453" s="226">
        <f t="shared" si="645"/>
        <v>33903.207791390159</v>
      </c>
      <c r="I1453" s="1493">
        <f t="shared" si="646"/>
        <v>33903.207791390159</v>
      </c>
      <c r="J1453" s="1493"/>
      <c r="K1453" s="1493"/>
      <c r="L1453" s="1351" t="s">
        <v>349</v>
      </c>
      <c r="M1453" s="227">
        <f t="shared" si="644"/>
        <v>3367.9446619966984</v>
      </c>
      <c r="N1453" s="228">
        <f t="shared" si="640"/>
        <v>3367.9446619966984</v>
      </c>
      <c r="O1453" s="228">
        <f t="shared" si="641"/>
        <v>0</v>
      </c>
      <c r="P1453" s="228">
        <f t="shared" si="642"/>
        <v>0</v>
      </c>
      <c r="Q1453" s="230"/>
      <c r="R1453" s="512">
        <f>SUM(M1421:M1453)</f>
        <v>13790.614405379827</v>
      </c>
    </row>
    <row r="1454" spans="1:18" hidden="1" outlineLevel="1">
      <c r="A1454" s="775" t="s">
        <v>1201</v>
      </c>
      <c r="B1454" s="1343" t="s">
        <v>408</v>
      </c>
      <c r="C1454" s="1330">
        <v>841</v>
      </c>
      <c r="D1454" s="1309" t="s">
        <v>433</v>
      </c>
      <c r="E1454" s="1344" t="s">
        <v>349</v>
      </c>
      <c r="F1454" s="1309" t="s">
        <v>429</v>
      </c>
      <c r="G1454" s="1345">
        <v>9.3490000000000004E-2</v>
      </c>
      <c r="H1454" s="222">
        <f t="shared" si="645"/>
        <v>170.22698696131866</v>
      </c>
      <c r="I1454" s="1492">
        <f t="shared" si="646"/>
        <v>170.22698696131866</v>
      </c>
      <c r="J1454" s="1492"/>
      <c r="K1454" s="1492"/>
      <c r="L1454" s="1357" t="s">
        <v>349</v>
      </c>
      <c r="M1454" s="223">
        <f t="shared" si="644"/>
        <v>15.914521011013681</v>
      </c>
      <c r="N1454" s="224">
        <f t="shared" si="640"/>
        <v>15.914521011013681</v>
      </c>
      <c r="O1454" s="224">
        <f t="shared" si="641"/>
        <v>0</v>
      </c>
      <c r="P1454" s="224">
        <f t="shared" si="642"/>
        <v>0</v>
      </c>
      <c r="Q1454" s="205"/>
    </row>
    <row r="1455" spans="1:18" hidden="1" outlineLevel="1">
      <c r="A1455" s="271" t="s">
        <v>1201</v>
      </c>
      <c r="B1455" s="1356" t="s">
        <v>1259</v>
      </c>
      <c r="C1455" s="1332">
        <v>882</v>
      </c>
      <c r="D1455" s="1317" t="s">
        <v>433</v>
      </c>
      <c r="E1455" s="1347" t="s">
        <v>349</v>
      </c>
      <c r="F1455" s="1313" t="s">
        <v>429</v>
      </c>
      <c r="G1455" s="1349">
        <v>9.3490000000000004E-2</v>
      </c>
      <c r="H1455" s="222">
        <f t="shared" ref="H1455" si="647">SUM(I1455:K1455)</f>
        <v>0</v>
      </c>
      <c r="I1455" s="1492">
        <f t="shared" si="646"/>
        <v>0</v>
      </c>
      <c r="J1455" s="1492"/>
      <c r="K1455" s="1492"/>
      <c r="L1455" s="1357" t="s">
        <v>349</v>
      </c>
      <c r="M1455" s="223">
        <f t="shared" ref="M1455" si="648">SUM(N1455:P1455)</f>
        <v>0</v>
      </c>
      <c r="N1455" s="224">
        <f t="shared" ref="N1455" si="649">G1455*I1455</f>
        <v>0</v>
      </c>
      <c r="O1455" s="224">
        <f t="shared" ref="O1455" si="650">G1455*J1455*5</f>
        <v>0</v>
      </c>
      <c r="P1455" s="224">
        <f t="shared" ref="P1455" si="651">G1455*K1455*5</f>
        <v>0</v>
      </c>
      <c r="Q1455" s="205"/>
    </row>
    <row r="1456" spans="1:18" hidden="1" outlineLevel="1">
      <c r="A1456" s="271" t="s">
        <v>1201</v>
      </c>
      <c r="B1456" s="1346" t="s">
        <v>409</v>
      </c>
      <c r="C1456" s="1332">
        <v>21717</v>
      </c>
      <c r="D1456" s="1317" t="s">
        <v>433</v>
      </c>
      <c r="E1456" s="1347" t="s">
        <v>349</v>
      </c>
      <c r="F1456" s="1313" t="s">
        <v>429</v>
      </c>
      <c r="G1456" s="1349">
        <v>9.3490000000000004E-2</v>
      </c>
      <c r="H1456" s="222">
        <f t="shared" si="645"/>
        <v>844.12558828465671</v>
      </c>
      <c r="I1456" s="1492">
        <f t="shared" si="646"/>
        <v>844.12558828465671</v>
      </c>
      <c r="J1456" s="1492"/>
      <c r="K1456" s="1492"/>
      <c r="L1456" s="1357" t="s">
        <v>349</v>
      </c>
      <c r="M1456" s="223">
        <f t="shared" si="644"/>
        <v>78.917301248732556</v>
      </c>
      <c r="N1456" s="224">
        <f t="shared" si="640"/>
        <v>78.917301248732556</v>
      </c>
      <c r="O1456" s="224">
        <f t="shared" si="641"/>
        <v>0</v>
      </c>
      <c r="P1456" s="224">
        <f t="shared" si="642"/>
        <v>0</v>
      </c>
      <c r="Q1456" s="292"/>
    </row>
    <row r="1457" spans="1:17" hidden="1" outlineLevel="1">
      <c r="A1457" s="271" t="s">
        <v>1201</v>
      </c>
      <c r="B1457" s="1346" t="s">
        <v>410</v>
      </c>
      <c r="C1457" s="1332">
        <v>749</v>
      </c>
      <c r="D1457" s="1317" t="s">
        <v>433</v>
      </c>
      <c r="E1457" s="1347" t="s">
        <v>349</v>
      </c>
      <c r="F1457" s="1313" t="s">
        <v>430</v>
      </c>
      <c r="G1457" s="1349">
        <v>9.9339999999999998E-2</v>
      </c>
      <c r="H1457" s="222">
        <f t="shared" si="645"/>
        <v>8909.8807645989036</v>
      </c>
      <c r="I1457" s="1491">
        <f t="shared" si="646"/>
        <v>8909.8807645989036</v>
      </c>
      <c r="J1457" s="1491"/>
      <c r="K1457" s="1491"/>
      <c r="L1457" s="1347" t="s">
        <v>349</v>
      </c>
      <c r="M1457" s="223">
        <f t="shared" si="644"/>
        <v>885.10755515525511</v>
      </c>
      <c r="N1457" s="224">
        <f t="shared" si="640"/>
        <v>885.10755515525511</v>
      </c>
      <c r="O1457" s="224">
        <f t="shared" si="641"/>
        <v>0</v>
      </c>
      <c r="P1457" s="224">
        <f t="shared" si="642"/>
        <v>0</v>
      </c>
      <c r="Q1457" s="292"/>
    </row>
    <row r="1458" spans="1:17" hidden="1" outlineLevel="1">
      <c r="A1458" s="271" t="s">
        <v>1201</v>
      </c>
      <c r="B1458" s="1346" t="s">
        <v>411</v>
      </c>
      <c r="C1458" s="1332">
        <v>20044</v>
      </c>
      <c r="D1458" s="1317" t="s">
        <v>433</v>
      </c>
      <c r="E1458" s="1347" t="s">
        <v>349</v>
      </c>
      <c r="F1458" s="1313" t="s">
        <v>430</v>
      </c>
      <c r="G1458" s="1349">
        <v>9.9339999999999998E-2</v>
      </c>
      <c r="H1458" s="222">
        <f t="shared" si="645"/>
        <v>1640.1870861331763</v>
      </c>
      <c r="I1458" s="1491">
        <f t="shared" si="646"/>
        <v>1640.1870861331763</v>
      </c>
      <c r="J1458" s="1491"/>
      <c r="K1458" s="1491"/>
      <c r="L1458" s="1347" t="s">
        <v>349</v>
      </c>
      <c r="M1458" s="223">
        <f t="shared" si="644"/>
        <v>162.93618513646973</v>
      </c>
      <c r="N1458" s="224">
        <f t="shared" si="640"/>
        <v>162.93618513646973</v>
      </c>
      <c r="O1458" s="224">
        <f t="shared" si="641"/>
        <v>0</v>
      </c>
      <c r="P1458" s="224">
        <f t="shared" si="642"/>
        <v>0</v>
      </c>
      <c r="Q1458" s="292"/>
    </row>
    <row r="1459" spans="1:17" hidden="1" outlineLevel="1">
      <c r="A1459" s="271" t="s">
        <v>1201</v>
      </c>
      <c r="B1459" s="1346" t="s">
        <v>412</v>
      </c>
      <c r="C1459" s="1332">
        <v>15141</v>
      </c>
      <c r="D1459" s="1317" t="s">
        <v>433</v>
      </c>
      <c r="E1459" s="1347" t="s">
        <v>349</v>
      </c>
      <c r="F1459" s="1313" t="s">
        <v>429</v>
      </c>
      <c r="G1459" s="1349">
        <v>9.3490000000000004E-2</v>
      </c>
      <c r="H1459" s="222">
        <f t="shared" si="645"/>
        <v>622.83050523494239</v>
      </c>
      <c r="I1459" s="1491">
        <f t="shared" si="646"/>
        <v>622.83050523494239</v>
      </c>
      <c r="J1459" s="1491"/>
      <c r="K1459" s="1491"/>
      <c r="L1459" s="1347" t="s">
        <v>349</v>
      </c>
      <c r="M1459" s="223">
        <f t="shared" si="644"/>
        <v>58.228423934414764</v>
      </c>
      <c r="N1459" s="224">
        <f t="shared" si="640"/>
        <v>58.228423934414764</v>
      </c>
      <c r="O1459" s="224">
        <f t="shared" si="641"/>
        <v>0</v>
      </c>
      <c r="P1459" s="224">
        <f t="shared" si="642"/>
        <v>0</v>
      </c>
      <c r="Q1459" s="292"/>
    </row>
    <row r="1460" spans="1:17" hidden="1" outlineLevel="1">
      <c r="A1460" s="271" t="s">
        <v>1201</v>
      </c>
      <c r="B1460" s="1346" t="s">
        <v>413</v>
      </c>
      <c r="C1460" s="1332">
        <v>16904</v>
      </c>
      <c r="D1460" s="1317" t="s">
        <v>433</v>
      </c>
      <c r="E1460" s="1347" t="s">
        <v>349</v>
      </c>
      <c r="F1460" s="1313" t="s">
        <v>430</v>
      </c>
      <c r="G1460" s="1349">
        <v>9.9339999999999998E-2</v>
      </c>
      <c r="H1460" s="222">
        <f t="shared" si="645"/>
        <v>2067.7572239713122</v>
      </c>
      <c r="I1460" s="1491">
        <f t="shared" si="646"/>
        <v>2067.7572239713122</v>
      </c>
      <c r="J1460" s="1491"/>
      <c r="K1460" s="1491"/>
      <c r="L1460" s="1347" t="s">
        <v>349</v>
      </c>
      <c r="M1460" s="223">
        <f t="shared" si="644"/>
        <v>205.41100262931016</v>
      </c>
      <c r="N1460" s="224">
        <f t="shared" si="640"/>
        <v>205.41100262931016</v>
      </c>
      <c r="O1460" s="224">
        <f t="shared" si="641"/>
        <v>0</v>
      </c>
      <c r="P1460" s="224">
        <f t="shared" si="642"/>
        <v>0</v>
      </c>
      <c r="Q1460" s="292"/>
    </row>
    <row r="1461" spans="1:17" hidden="1" outlineLevel="1">
      <c r="A1461" s="271" t="s">
        <v>1201</v>
      </c>
      <c r="B1461" s="1346" t="s">
        <v>595</v>
      </c>
      <c r="C1461" s="1332">
        <v>891</v>
      </c>
      <c r="D1461" s="1317" t="s">
        <v>433</v>
      </c>
      <c r="E1461" s="1347" t="s">
        <v>349</v>
      </c>
      <c r="F1461" s="1313" t="s">
        <v>429</v>
      </c>
      <c r="G1461" s="1349">
        <v>9.3490000000000004E-2</v>
      </c>
      <c r="H1461" s="222">
        <f t="shared" ref="H1461:H1486" si="652">SUM(I1461:K1461)</f>
        <v>1753.3379657015823</v>
      </c>
      <c r="I1461" s="1491">
        <f t="shared" si="646"/>
        <v>1753.3379657015823</v>
      </c>
      <c r="J1461" s="1491"/>
      <c r="K1461" s="1491"/>
      <c r="L1461" s="1347" t="s">
        <v>349</v>
      </c>
      <c r="M1461" s="223">
        <f t="shared" si="644"/>
        <v>163.91956641344095</v>
      </c>
      <c r="N1461" s="224">
        <f t="shared" si="640"/>
        <v>163.91956641344095</v>
      </c>
      <c r="O1461" s="224">
        <f t="shared" si="641"/>
        <v>0</v>
      </c>
      <c r="P1461" s="224">
        <f t="shared" si="642"/>
        <v>0</v>
      </c>
      <c r="Q1461" s="292"/>
    </row>
    <row r="1462" spans="1:17" hidden="1" outlineLevel="1">
      <c r="A1462" s="271" t="s">
        <v>1201</v>
      </c>
      <c r="B1462" s="1346" t="s">
        <v>606</v>
      </c>
      <c r="C1462" s="1332">
        <v>892</v>
      </c>
      <c r="D1462" s="1317" t="s">
        <v>433</v>
      </c>
      <c r="E1462" s="1347" t="s">
        <v>349</v>
      </c>
      <c r="F1462" s="1313" t="s">
        <v>429</v>
      </c>
      <c r="G1462" s="1349">
        <v>9.3490000000000004E-2</v>
      </c>
      <c r="H1462" s="222">
        <f t="shared" si="652"/>
        <v>5570.4278145047983</v>
      </c>
      <c r="I1462" s="1491">
        <f t="shared" si="646"/>
        <v>5570.4278145047983</v>
      </c>
      <c r="J1462" s="1491"/>
      <c r="K1462" s="1491"/>
      <c r="L1462" s="1347" t="s">
        <v>349</v>
      </c>
      <c r="M1462" s="223">
        <f t="shared" si="644"/>
        <v>520.77929637805357</v>
      </c>
      <c r="N1462" s="224">
        <f t="shared" si="640"/>
        <v>520.77929637805357</v>
      </c>
      <c r="O1462" s="224">
        <f t="shared" si="641"/>
        <v>0</v>
      </c>
      <c r="P1462" s="224">
        <f t="shared" si="642"/>
        <v>0</v>
      </c>
      <c r="Q1462" s="292"/>
    </row>
    <row r="1463" spans="1:17" hidden="1" outlineLevel="1">
      <c r="A1463" s="271" t="s">
        <v>1201</v>
      </c>
      <c r="B1463" s="1346" t="s">
        <v>1302</v>
      </c>
      <c r="C1463" s="1332">
        <v>708</v>
      </c>
      <c r="D1463" s="1317" t="s">
        <v>433</v>
      </c>
      <c r="E1463" s="1347" t="s">
        <v>349</v>
      </c>
      <c r="F1463" s="1313" t="s">
        <v>430</v>
      </c>
      <c r="G1463" s="1349">
        <v>9.9339999999999998E-2</v>
      </c>
      <c r="H1463" s="222">
        <f t="shared" si="652"/>
        <v>0</v>
      </c>
      <c r="I1463" s="1491">
        <f t="shared" si="646"/>
        <v>0</v>
      </c>
      <c r="J1463" s="1491"/>
      <c r="K1463" s="1491"/>
      <c r="L1463" s="1347" t="s">
        <v>349</v>
      </c>
      <c r="M1463" s="223">
        <f t="shared" si="644"/>
        <v>0</v>
      </c>
      <c r="N1463" s="224">
        <f t="shared" si="640"/>
        <v>0</v>
      </c>
      <c r="O1463" s="224">
        <f t="shared" si="641"/>
        <v>0</v>
      </c>
      <c r="P1463" s="224">
        <f t="shared" si="642"/>
        <v>0</v>
      </c>
      <c r="Q1463" s="292"/>
    </row>
    <row r="1464" spans="1:17" hidden="1" outlineLevel="1">
      <c r="A1464" s="271" t="s">
        <v>1201</v>
      </c>
      <c r="B1464" s="1346" t="s">
        <v>414</v>
      </c>
      <c r="C1464" s="1332">
        <v>16757</v>
      </c>
      <c r="D1464" s="1317" t="s">
        <v>433</v>
      </c>
      <c r="E1464" s="1347" t="s">
        <v>349</v>
      </c>
      <c r="F1464" s="1313" t="s">
        <v>429</v>
      </c>
      <c r="G1464" s="1349">
        <v>9.3490000000000004E-2</v>
      </c>
      <c r="H1464" s="222">
        <f t="shared" si="652"/>
        <v>1407.8773156918473</v>
      </c>
      <c r="I1464" s="1491">
        <f t="shared" si="646"/>
        <v>1407.8773156918473</v>
      </c>
      <c r="J1464" s="1491"/>
      <c r="K1464" s="1491"/>
      <c r="L1464" s="1347" t="s">
        <v>349</v>
      </c>
      <c r="M1464" s="223">
        <f t="shared" si="644"/>
        <v>131.6224502440308</v>
      </c>
      <c r="N1464" s="224">
        <f t="shared" si="640"/>
        <v>131.6224502440308</v>
      </c>
      <c r="O1464" s="224">
        <f t="shared" si="641"/>
        <v>0</v>
      </c>
      <c r="P1464" s="224">
        <f t="shared" si="642"/>
        <v>0</v>
      </c>
      <c r="Q1464" s="292"/>
    </row>
    <row r="1465" spans="1:17" hidden="1" outlineLevel="1">
      <c r="A1465" s="271" t="s">
        <v>1201</v>
      </c>
      <c r="B1465" s="1346" t="s">
        <v>596</v>
      </c>
      <c r="C1465" s="1332">
        <v>878</v>
      </c>
      <c r="D1465" s="1317" t="s">
        <v>433</v>
      </c>
      <c r="E1465" s="1347" t="s">
        <v>349</v>
      </c>
      <c r="F1465" s="1313" t="s">
        <v>429</v>
      </c>
      <c r="G1465" s="1349">
        <v>9.3490000000000004E-2</v>
      </c>
      <c r="H1465" s="222">
        <f t="shared" si="652"/>
        <v>9793.0584263629207</v>
      </c>
      <c r="I1465" s="1491">
        <f t="shared" si="646"/>
        <v>9793.0584263629207</v>
      </c>
      <c r="J1465" s="1491"/>
      <c r="K1465" s="1491"/>
      <c r="L1465" s="1347" t="s">
        <v>349</v>
      </c>
      <c r="M1465" s="223">
        <f t="shared" si="644"/>
        <v>915.55303228066953</v>
      </c>
      <c r="N1465" s="224">
        <f t="shared" si="640"/>
        <v>915.55303228066953</v>
      </c>
      <c r="O1465" s="224">
        <f t="shared" si="641"/>
        <v>0</v>
      </c>
      <c r="P1465" s="224">
        <f t="shared" si="642"/>
        <v>0</v>
      </c>
      <c r="Q1465" s="292"/>
    </row>
    <row r="1466" spans="1:17" hidden="1" outlineLevel="1">
      <c r="A1466" s="271" t="s">
        <v>1201</v>
      </c>
      <c r="B1466" s="1346" t="s">
        <v>597</v>
      </c>
      <c r="C1466" s="1332">
        <v>879</v>
      </c>
      <c r="D1466" s="1317" t="s">
        <v>433</v>
      </c>
      <c r="E1466" s="1347" t="s">
        <v>349</v>
      </c>
      <c r="F1466" s="1313" t="s">
        <v>429</v>
      </c>
      <c r="G1466" s="1349">
        <v>9.3490000000000004E-2</v>
      </c>
      <c r="H1466" s="222">
        <f t="shared" si="652"/>
        <v>6924.2330284559921</v>
      </c>
      <c r="I1466" s="1491">
        <f t="shared" si="646"/>
        <v>6924.2330284559921</v>
      </c>
      <c r="J1466" s="1491"/>
      <c r="K1466" s="1491"/>
      <c r="L1466" s="1347" t="s">
        <v>349</v>
      </c>
      <c r="M1466" s="223">
        <f t="shared" si="644"/>
        <v>647.34654583035069</v>
      </c>
      <c r="N1466" s="224">
        <f t="shared" si="640"/>
        <v>647.34654583035069</v>
      </c>
      <c r="O1466" s="224">
        <f t="shared" si="641"/>
        <v>0</v>
      </c>
      <c r="P1466" s="224">
        <f t="shared" si="642"/>
        <v>0</v>
      </c>
      <c r="Q1466" s="292"/>
    </row>
    <row r="1467" spans="1:17" hidden="1" outlineLevel="1">
      <c r="A1467" s="271" t="s">
        <v>1201</v>
      </c>
      <c r="B1467" s="1346" t="s">
        <v>598</v>
      </c>
      <c r="C1467" s="1332">
        <v>880</v>
      </c>
      <c r="D1467" s="1317" t="s">
        <v>433</v>
      </c>
      <c r="E1467" s="1347" t="s">
        <v>349</v>
      </c>
      <c r="F1467" s="1313" t="s">
        <v>429</v>
      </c>
      <c r="G1467" s="1349">
        <v>9.3490000000000004E-2</v>
      </c>
      <c r="H1467" s="222">
        <f t="shared" si="652"/>
        <v>0</v>
      </c>
      <c r="I1467" s="1491">
        <f t="shared" si="646"/>
        <v>0</v>
      </c>
      <c r="J1467" s="1491"/>
      <c r="K1467" s="1491"/>
      <c r="L1467" s="1347" t="s">
        <v>349</v>
      </c>
      <c r="M1467" s="223">
        <f t="shared" si="644"/>
        <v>0</v>
      </c>
      <c r="N1467" s="224">
        <f t="shared" si="640"/>
        <v>0</v>
      </c>
      <c r="O1467" s="224">
        <f t="shared" si="641"/>
        <v>0</v>
      </c>
      <c r="P1467" s="224">
        <f t="shared" si="642"/>
        <v>0</v>
      </c>
      <c r="Q1467" s="292"/>
    </row>
    <row r="1468" spans="1:17" hidden="1" outlineLevel="1">
      <c r="A1468" s="271" t="s">
        <v>1201</v>
      </c>
      <c r="B1468" s="1346" t="s">
        <v>599</v>
      </c>
      <c r="C1468" s="1332">
        <v>4650</v>
      </c>
      <c r="D1468" s="1317" t="s">
        <v>433</v>
      </c>
      <c r="E1468" s="1347" t="s">
        <v>349</v>
      </c>
      <c r="F1468" s="1313" t="s">
        <v>429</v>
      </c>
      <c r="G1468" s="1349">
        <v>9.3490000000000004E-2</v>
      </c>
      <c r="H1468" s="222">
        <f t="shared" si="652"/>
        <v>8916.8901111208397</v>
      </c>
      <c r="I1468" s="1491">
        <f t="shared" si="646"/>
        <v>8916.8901111208397</v>
      </c>
      <c r="J1468" s="1491"/>
      <c r="K1468" s="1491"/>
      <c r="L1468" s="1347" t="s">
        <v>349</v>
      </c>
      <c r="M1468" s="223">
        <f t="shared" si="644"/>
        <v>833.64005648868738</v>
      </c>
      <c r="N1468" s="224">
        <f t="shared" si="640"/>
        <v>833.64005648868738</v>
      </c>
      <c r="O1468" s="224">
        <f t="shared" si="641"/>
        <v>0</v>
      </c>
      <c r="P1468" s="224">
        <f t="shared" si="642"/>
        <v>0</v>
      </c>
      <c r="Q1468" s="292"/>
    </row>
    <row r="1469" spans="1:17" hidden="1" outlineLevel="1">
      <c r="A1469" s="271" t="s">
        <v>1201</v>
      </c>
      <c r="B1469" s="1346" t="s">
        <v>1303</v>
      </c>
      <c r="C1469" s="1332">
        <v>14114</v>
      </c>
      <c r="D1469" s="1317" t="s">
        <v>433</v>
      </c>
      <c r="E1469" s="1347" t="s">
        <v>349</v>
      </c>
      <c r="F1469" s="1313" t="s">
        <v>430</v>
      </c>
      <c r="G1469" s="1349">
        <v>9.9339999999999998E-2</v>
      </c>
      <c r="H1469" s="222">
        <f t="shared" si="652"/>
        <v>4421.896320124607</v>
      </c>
      <c r="I1469" s="1491">
        <f t="shared" si="646"/>
        <v>4421.896320124607</v>
      </c>
      <c r="J1469" s="1491"/>
      <c r="K1469" s="1491"/>
      <c r="L1469" s="1347" t="s">
        <v>349</v>
      </c>
      <c r="M1469" s="223">
        <f t="shared" si="644"/>
        <v>439.27118044117844</v>
      </c>
      <c r="N1469" s="224">
        <f t="shared" si="640"/>
        <v>439.27118044117844</v>
      </c>
      <c r="O1469" s="224">
        <f t="shared" si="641"/>
        <v>0</v>
      </c>
      <c r="P1469" s="224">
        <f t="shared" si="642"/>
        <v>0</v>
      </c>
      <c r="Q1469" s="292"/>
    </row>
    <row r="1470" spans="1:17" hidden="1" outlineLevel="1">
      <c r="A1470" s="271" t="s">
        <v>1201</v>
      </c>
      <c r="B1470" s="1346" t="s">
        <v>1303</v>
      </c>
      <c r="C1470" s="1332">
        <v>14114</v>
      </c>
      <c r="D1470" s="1317" t="s">
        <v>433</v>
      </c>
      <c r="E1470" s="1347" t="s">
        <v>349</v>
      </c>
      <c r="F1470" s="1313" t="s">
        <v>430</v>
      </c>
      <c r="G1470" s="1349">
        <v>0.18418000000000001</v>
      </c>
      <c r="H1470" s="222">
        <f t="shared" si="652"/>
        <v>4421.896320124607</v>
      </c>
      <c r="I1470" s="1491">
        <f t="shared" si="646"/>
        <v>4421.896320124607</v>
      </c>
      <c r="J1470" s="1491"/>
      <c r="K1470" s="1491"/>
      <c r="L1470" s="1347" t="s">
        <v>349</v>
      </c>
      <c r="M1470" s="223">
        <f t="shared" si="644"/>
        <v>814.42486424055016</v>
      </c>
      <c r="N1470" s="224">
        <f t="shared" si="640"/>
        <v>814.42486424055016</v>
      </c>
      <c r="O1470" s="224">
        <f t="shared" si="641"/>
        <v>0</v>
      </c>
      <c r="P1470" s="224">
        <f t="shared" si="642"/>
        <v>0</v>
      </c>
      <c r="Q1470" s="292"/>
    </row>
    <row r="1471" spans="1:17" hidden="1" outlineLevel="1">
      <c r="A1471" s="271" t="s">
        <v>1201</v>
      </c>
      <c r="B1471" s="1346" t="s">
        <v>600</v>
      </c>
      <c r="C1471" s="1332">
        <v>969</v>
      </c>
      <c r="D1471" s="1317" t="s">
        <v>433</v>
      </c>
      <c r="E1471" s="1347" t="s">
        <v>349</v>
      </c>
      <c r="F1471" s="1313" t="s">
        <v>429</v>
      </c>
      <c r="G1471" s="1349">
        <v>9.3490000000000004E-2</v>
      </c>
      <c r="H1471" s="222">
        <f t="shared" si="652"/>
        <v>9145.1945406924915</v>
      </c>
      <c r="I1471" s="1491">
        <f t="shared" si="646"/>
        <v>9145.1945406924915</v>
      </c>
      <c r="J1471" s="1491"/>
      <c r="K1471" s="1491"/>
      <c r="L1471" s="1347" t="s">
        <v>349</v>
      </c>
      <c r="M1471" s="223">
        <f t="shared" si="644"/>
        <v>854.98423760934111</v>
      </c>
      <c r="N1471" s="224">
        <f t="shared" si="640"/>
        <v>854.98423760934111</v>
      </c>
      <c r="O1471" s="224">
        <f t="shared" si="641"/>
        <v>0</v>
      </c>
      <c r="P1471" s="224">
        <f t="shared" si="642"/>
        <v>0</v>
      </c>
      <c r="Q1471" s="292"/>
    </row>
    <row r="1472" spans="1:17" hidden="1" outlineLevel="1">
      <c r="A1472" s="271" t="s">
        <v>1201</v>
      </c>
      <c r="B1472" s="1346" t="s">
        <v>601</v>
      </c>
      <c r="C1472" s="1332">
        <v>1003</v>
      </c>
      <c r="D1472" s="1317" t="s">
        <v>433</v>
      </c>
      <c r="E1472" s="1347" t="s">
        <v>349</v>
      </c>
      <c r="F1472" s="1313" t="s">
        <v>430</v>
      </c>
      <c r="G1472" s="1349">
        <v>9.9339999999999998E-2</v>
      </c>
      <c r="H1472" s="222">
        <f t="shared" si="652"/>
        <v>3484.6465566199349</v>
      </c>
      <c r="I1472" s="1491">
        <f t="shared" si="646"/>
        <v>3484.6465566199349</v>
      </c>
      <c r="J1472" s="1491"/>
      <c r="K1472" s="1491"/>
      <c r="L1472" s="1347" t="s">
        <v>349</v>
      </c>
      <c r="M1472" s="223">
        <f t="shared" si="644"/>
        <v>346.16478893462431</v>
      </c>
      <c r="N1472" s="224">
        <f t="shared" si="640"/>
        <v>346.16478893462431</v>
      </c>
      <c r="O1472" s="224">
        <f t="shared" si="641"/>
        <v>0</v>
      </c>
      <c r="P1472" s="224">
        <f t="shared" si="642"/>
        <v>0</v>
      </c>
      <c r="Q1472" s="292"/>
    </row>
    <row r="1473" spans="1:18" hidden="1" outlineLevel="1">
      <c r="A1473" s="271" t="s">
        <v>1201</v>
      </c>
      <c r="B1473" s="1346" t="s">
        <v>416</v>
      </c>
      <c r="C1473" s="1332">
        <v>881</v>
      </c>
      <c r="D1473" s="1317" t="s">
        <v>433</v>
      </c>
      <c r="E1473" s="1347" t="s">
        <v>349</v>
      </c>
      <c r="F1473" s="1313" t="s">
        <v>429</v>
      </c>
      <c r="G1473" s="1349">
        <v>9.3490000000000004E-2</v>
      </c>
      <c r="H1473" s="222">
        <f t="shared" si="652"/>
        <v>903.20436611240848</v>
      </c>
      <c r="I1473" s="1491">
        <f t="shared" si="646"/>
        <v>903.20436611240848</v>
      </c>
      <c r="J1473" s="1491"/>
      <c r="K1473" s="1491"/>
      <c r="L1473" s="1347" t="s">
        <v>349</v>
      </c>
      <c r="M1473" s="223">
        <f t="shared" si="644"/>
        <v>84.440576187849075</v>
      </c>
      <c r="N1473" s="224">
        <f t="shared" si="640"/>
        <v>84.440576187849075</v>
      </c>
      <c r="O1473" s="224">
        <f t="shared" si="641"/>
        <v>0</v>
      </c>
      <c r="P1473" s="224">
        <f t="shared" si="642"/>
        <v>0</v>
      </c>
      <c r="Q1473" s="292"/>
    </row>
    <row r="1474" spans="1:18" hidden="1" outlineLevel="1">
      <c r="A1474" s="271" t="s">
        <v>1201</v>
      </c>
      <c r="B1474" s="1346" t="s">
        <v>417</v>
      </c>
      <c r="C1474" s="1332">
        <v>832</v>
      </c>
      <c r="D1474" s="1317" t="s">
        <v>433</v>
      </c>
      <c r="E1474" s="1347" t="s">
        <v>349</v>
      </c>
      <c r="F1474" s="1313" t="s">
        <v>429</v>
      </c>
      <c r="G1474" s="1349">
        <v>9.3490000000000004E-2</v>
      </c>
      <c r="H1474" s="222">
        <f t="shared" si="652"/>
        <v>301.40190044327602</v>
      </c>
      <c r="I1474" s="1491">
        <f t="shared" si="646"/>
        <v>301.40190044327602</v>
      </c>
      <c r="J1474" s="1491"/>
      <c r="K1474" s="1491"/>
      <c r="L1474" s="1347" t="s">
        <v>349</v>
      </c>
      <c r="M1474" s="223">
        <f t="shared" si="644"/>
        <v>28.178063672441876</v>
      </c>
      <c r="N1474" s="224">
        <f t="shared" si="640"/>
        <v>28.178063672441876</v>
      </c>
      <c r="O1474" s="224">
        <f t="shared" si="641"/>
        <v>0</v>
      </c>
      <c r="P1474" s="224">
        <f t="shared" si="642"/>
        <v>0</v>
      </c>
      <c r="Q1474" s="292"/>
    </row>
    <row r="1475" spans="1:18" hidden="1" outlineLevel="1">
      <c r="A1475" s="271" t="s">
        <v>1201</v>
      </c>
      <c r="B1475" s="1346" t="s">
        <v>418</v>
      </c>
      <c r="C1475" s="1332">
        <v>1138</v>
      </c>
      <c r="D1475" s="1317" t="s">
        <v>433</v>
      </c>
      <c r="E1475" s="1347" t="s">
        <v>349</v>
      </c>
      <c r="F1475" s="1313" t="s">
        <v>430</v>
      </c>
      <c r="G1475" s="1349">
        <v>9.9339999999999998E-2</v>
      </c>
      <c r="H1475" s="222">
        <f t="shared" si="652"/>
        <v>8126.8366245768375</v>
      </c>
      <c r="I1475" s="1491">
        <f t="shared" si="646"/>
        <v>8126.8366245768375</v>
      </c>
      <c r="J1475" s="1491"/>
      <c r="K1475" s="1491"/>
      <c r="L1475" s="1347" t="s">
        <v>349</v>
      </c>
      <c r="M1475" s="223">
        <f t="shared" si="644"/>
        <v>807.31995028546305</v>
      </c>
      <c r="N1475" s="224">
        <f t="shared" si="640"/>
        <v>807.31995028546305</v>
      </c>
      <c r="O1475" s="224">
        <f t="shared" si="641"/>
        <v>0</v>
      </c>
      <c r="P1475" s="224">
        <f t="shared" si="642"/>
        <v>0</v>
      </c>
      <c r="Q1475" s="292"/>
    </row>
    <row r="1476" spans="1:18" hidden="1" outlineLevel="1">
      <c r="A1476" s="271" t="s">
        <v>1201</v>
      </c>
      <c r="B1476" s="1346" t="s">
        <v>419</v>
      </c>
      <c r="C1476" s="1332">
        <v>1010</v>
      </c>
      <c r="D1476" s="1317" t="s">
        <v>433</v>
      </c>
      <c r="E1476" s="1347" t="s">
        <v>349</v>
      </c>
      <c r="F1476" s="1313" t="s">
        <v>430</v>
      </c>
      <c r="G1476" s="1349">
        <v>9.9339999999999998E-2</v>
      </c>
      <c r="H1476" s="222">
        <f t="shared" si="652"/>
        <v>0</v>
      </c>
      <c r="I1476" s="1491">
        <f t="shared" si="646"/>
        <v>0</v>
      </c>
      <c r="J1476" s="1491"/>
      <c r="K1476" s="1491"/>
      <c r="L1476" s="1347" t="s">
        <v>349</v>
      </c>
      <c r="M1476" s="223">
        <f t="shared" si="644"/>
        <v>0</v>
      </c>
      <c r="N1476" s="224">
        <f t="shared" si="640"/>
        <v>0</v>
      </c>
      <c r="O1476" s="224">
        <f t="shared" si="641"/>
        <v>0</v>
      </c>
      <c r="P1476" s="224">
        <f t="shared" si="642"/>
        <v>0</v>
      </c>
      <c r="Q1476" s="292"/>
    </row>
    <row r="1477" spans="1:18" hidden="1" outlineLevel="1">
      <c r="A1477" s="271" t="s">
        <v>1201</v>
      </c>
      <c r="B1477" s="1346" t="s">
        <v>420</v>
      </c>
      <c r="C1477" s="1332">
        <v>16476</v>
      </c>
      <c r="D1477" s="1317" t="s">
        <v>433</v>
      </c>
      <c r="E1477" s="1347" t="s">
        <v>349</v>
      </c>
      <c r="F1477" s="1313" t="s">
        <v>430</v>
      </c>
      <c r="G1477" s="1349">
        <v>9.9339999999999998E-2</v>
      </c>
      <c r="H1477" s="222">
        <f t="shared" si="652"/>
        <v>302.40323566069554</v>
      </c>
      <c r="I1477" s="1491">
        <f t="shared" si="646"/>
        <v>302.40323566069554</v>
      </c>
      <c r="J1477" s="1491"/>
      <c r="K1477" s="1491"/>
      <c r="L1477" s="1347" t="s">
        <v>349</v>
      </c>
      <c r="M1477" s="223">
        <f t="shared" si="644"/>
        <v>30.040737430533493</v>
      </c>
      <c r="N1477" s="224">
        <f t="shared" si="640"/>
        <v>30.040737430533493</v>
      </c>
      <c r="O1477" s="224">
        <f t="shared" si="641"/>
        <v>0</v>
      </c>
      <c r="P1477" s="224">
        <f t="shared" si="642"/>
        <v>0</v>
      </c>
      <c r="Q1477" s="292"/>
    </row>
    <row r="1478" spans="1:18" hidden="1" outlineLevel="1">
      <c r="A1478" s="271" t="s">
        <v>1201</v>
      </c>
      <c r="B1478" s="1346" t="s">
        <v>602</v>
      </c>
      <c r="C1478" s="1332">
        <v>965</v>
      </c>
      <c r="D1478" s="1317" t="s">
        <v>433</v>
      </c>
      <c r="E1478" s="1347" t="s">
        <v>349</v>
      </c>
      <c r="F1478" s="1313" t="s">
        <v>429</v>
      </c>
      <c r="G1478" s="1349">
        <v>9.3490000000000004E-2</v>
      </c>
      <c r="H1478" s="222">
        <f t="shared" si="652"/>
        <v>1429.9066904750769</v>
      </c>
      <c r="I1478" s="1491">
        <f t="shared" si="646"/>
        <v>1429.9066904750769</v>
      </c>
      <c r="J1478" s="1491"/>
      <c r="K1478" s="1491"/>
      <c r="L1478" s="1347" t="s">
        <v>349</v>
      </c>
      <c r="M1478" s="223">
        <f t="shared" si="644"/>
        <v>133.68197649251493</v>
      </c>
      <c r="N1478" s="224">
        <f t="shared" si="640"/>
        <v>133.68197649251493</v>
      </c>
      <c r="O1478" s="224">
        <f t="shared" si="641"/>
        <v>0</v>
      </c>
      <c r="P1478" s="224">
        <f t="shared" si="642"/>
        <v>0</v>
      </c>
      <c r="Q1478" s="292"/>
    </row>
    <row r="1479" spans="1:18" hidden="1" outlineLevel="1">
      <c r="A1479" s="271" t="s">
        <v>1201</v>
      </c>
      <c r="B1479" s="1346" t="s">
        <v>603</v>
      </c>
      <c r="C1479" s="1332">
        <v>968</v>
      </c>
      <c r="D1479" s="1317" t="s">
        <v>433</v>
      </c>
      <c r="E1479" s="1347" t="s">
        <v>349</v>
      </c>
      <c r="F1479" s="1313" t="s">
        <v>429</v>
      </c>
      <c r="G1479" s="1349">
        <v>9.3490000000000004E-2</v>
      </c>
      <c r="H1479" s="222">
        <f t="shared" si="652"/>
        <v>1313.7518052544124</v>
      </c>
      <c r="I1479" s="1491">
        <f t="shared" si="646"/>
        <v>1313.7518052544124</v>
      </c>
      <c r="J1479" s="1491"/>
      <c r="K1479" s="1491"/>
      <c r="L1479" s="1347" t="s">
        <v>349</v>
      </c>
      <c r="M1479" s="223">
        <f t="shared" si="644"/>
        <v>122.82265627323501</v>
      </c>
      <c r="N1479" s="224">
        <f t="shared" si="640"/>
        <v>122.82265627323501</v>
      </c>
      <c r="O1479" s="224">
        <f t="shared" si="641"/>
        <v>0</v>
      </c>
      <c r="P1479" s="224">
        <f t="shared" si="642"/>
        <v>0</v>
      </c>
      <c r="Q1479" s="292"/>
    </row>
    <row r="1480" spans="1:18" hidden="1" outlineLevel="1">
      <c r="A1480" s="271" t="s">
        <v>1201</v>
      </c>
      <c r="B1480" s="1346" t="s">
        <v>421</v>
      </c>
      <c r="C1480" s="1332">
        <v>964</v>
      </c>
      <c r="D1480" s="1317" t="s">
        <v>433</v>
      </c>
      <c r="E1480" s="1347" t="s">
        <v>349</v>
      </c>
      <c r="F1480" s="1313" t="s">
        <v>429</v>
      </c>
      <c r="G1480" s="1349">
        <v>9.3490000000000004E-2</v>
      </c>
      <c r="H1480" s="222">
        <f t="shared" si="652"/>
        <v>147.19627696066968</v>
      </c>
      <c r="I1480" s="1491">
        <f t="shared" si="646"/>
        <v>147.19627696066968</v>
      </c>
      <c r="J1480" s="1491"/>
      <c r="K1480" s="1491"/>
      <c r="L1480" s="1347" t="s">
        <v>349</v>
      </c>
      <c r="M1480" s="223">
        <f t="shared" si="644"/>
        <v>13.761379933053009</v>
      </c>
      <c r="N1480" s="224">
        <f t="shared" si="640"/>
        <v>13.761379933053009</v>
      </c>
      <c r="O1480" s="224">
        <f t="shared" si="641"/>
        <v>0</v>
      </c>
      <c r="P1480" s="224">
        <f t="shared" si="642"/>
        <v>0</v>
      </c>
      <c r="Q1480" s="292"/>
    </row>
    <row r="1481" spans="1:18" hidden="1" outlineLevel="1">
      <c r="A1481" s="271" t="s">
        <v>1201</v>
      </c>
      <c r="B1481" s="1346" t="s">
        <v>422</v>
      </c>
      <c r="C1481" s="1332">
        <v>16477</v>
      </c>
      <c r="D1481" s="1317" t="s">
        <v>433</v>
      </c>
      <c r="E1481" s="1347" t="s">
        <v>349</v>
      </c>
      <c r="F1481" s="1313" t="s">
        <v>430</v>
      </c>
      <c r="G1481" s="1349">
        <v>9.9339999999999998E-2</v>
      </c>
      <c r="H1481" s="222">
        <f t="shared" si="652"/>
        <v>65.086789132268905</v>
      </c>
      <c r="I1481" s="1491">
        <f t="shared" si="646"/>
        <v>65.086789132268905</v>
      </c>
      <c r="J1481" s="1491"/>
      <c r="K1481" s="1491"/>
      <c r="L1481" s="1347" t="s">
        <v>349</v>
      </c>
      <c r="M1481" s="223">
        <f t="shared" si="644"/>
        <v>6.4657216323995925</v>
      </c>
      <c r="N1481" s="224">
        <f t="shared" si="640"/>
        <v>6.4657216323995925</v>
      </c>
      <c r="O1481" s="224">
        <f t="shared" si="641"/>
        <v>0</v>
      </c>
      <c r="P1481" s="224">
        <f t="shared" si="642"/>
        <v>0</v>
      </c>
      <c r="Q1481" s="292"/>
    </row>
    <row r="1482" spans="1:18" hidden="1" outlineLevel="1">
      <c r="A1482" s="271" t="s">
        <v>1201</v>
      </c>
      <c r="B1482" s="1346" t="s">
        <v>423</v>
      </c>
      <c r="C1482" s="1332">
        <v>703</v>
      </c>
      <c r="D1482" s="1317" t="s">
        <v>433</v>
      </c>
      <c r="E1482" s="1347" t="s">
        <v>349</v>
      </c>
      <c r="F1482" s="1313" t="s">
        <v>430</v>
      </c>
      <c r="G1482" s="1349">
        <v>9.9339999999999998E-2</v>
      </c>
      <c r="H1482" s="222">
        <f t="shared" si="652"/>
        <v>1671.2284778731814</v>
      </c>
      <c r="I1482" s="1491">
        <f t="shared" si="646"/>
        <v>1671.2284778731814</v>
      </c>
      <c r="J1482" s="1491"/>
      <c r="K1482" s="1491"/>
      <c r="L1482" s="1347" t="s">
        <v>349</v>
      </c>
      <c r="M1482" s="223">
        <f t="shared" si="644"/>
        <v>166.01983699192184</v>
      </c>
      <c r="N1482" s="224">
        <f t="shared" si="640"/>
        <v>166.01983699192184</v>
      </c>
      <c r="O1482" s="224">
        <f t="shared" si="641"/>
        <v>0</v>
      </c>
      <c r="P1482" s="224">
        <f t="shared" si="642"/>
        <v>0</v>
      </c>
      <c r="Q1482" s="292"/>
    </row>
    <row r="1483" spans="1:18" hidden="1" outlineLevel="1">
      <c r="A1483" s="271" t="s">
        <v>1201</v>
      </c>
      <c r="B1483" s="1346" t="s">
        <v>604</v>
      </c>
      <c r="C1483" s="1332">
        <v>707</v>
      </c>
      <c r="D1483" s="1317" t="s">
        <v>433</v>
      </c>
      <c r="E1483" s="1347" t="s">
        <v>349</v>
      </c>
      <c r="F1483" s="1313" t="s">
        <v>430</v>
      </c>
      <c r="G1483" s="1349">
        <v>9.9339999999999998E-2</v>
      </c>
      <c r="H1483" s="222">
        <f t="shared" si="652"/>
        <v>8561.4161089369099</v>
      </c>
      <c r="I1483" s="1491">
        <f t="shared" ref="I1483:I1486" si="653">I1181*(100%+$I$1354)</f>
        <v>8561.4161089369099</v>
      </c>
      <c r="J1483" s="1491"/>
      <c r="K1483" s="1491"/>
      <c r="L1483" s="1347" t="s">
        <v>349</v>
      </c>
      <c r="M1483" s="223">
        <f t="shared" si="644"/>
        <v>850.49107626179261</v>
      </c>
      <c r="N1483" s="224">
        <f t="shared" si="640"/>
        <v>850.49107626179261</v>
      </c>
      <c r="O1483" s="224">
        <f t="shared" si="641"/>
        <v>0</v>
      </c>
      <c r="P1483" s="224">
        <f t="shared" si="642"/>
        <v>0</v>
      </c>
      <c r="Q1483" s="292"/>
    </row>
    <row r="1484" spans="1:18" hidden="1" outlineLevel="1">
      <c r="A1484" s="271" t="s">
        <v>1201</v>
      </c>
      <c r="B1484" s="1356" t="s">
        <v>466</v>
      </c>
      <c r="C1484" s="1334">
        <v>15025</v>
      </c>
      <c r="D1484" s="1317" t="s">
        <v>433</v>
      </c>
      <c r="E1484" s="1357" t="s">
        <v>349</v>
      </c>
      <c r="F1484" s="1317" t="s">
        <v>430</v>
      </c>
      <c r="G1484" s="1348">
        <v>9.9339999999999998E-2</v>
      </c>
      <c r="H1484" s="222">
        <f t="shared" si="652"/>
        <v>1952.6036739680671</v>
      </c>
      <c r="I1484" s="1491">
        <f t="shared" si="653"/>
        <v>1952.6036739680671</v>
      </c>
      <c r="J1484" s="1491"/>
      <c r="K1484" s="1491"/>
      <c r="L1484" s="1347" t="s">
        <v>349</v>
      </c>
      <c r="M1484" s="223">
        <f t="shared" si="644"/>
        <v>193.97164897198778</v>
      </c>
      <c r="N1484" s="224">
        <f t="shared" si="640"/>
        <v>193.97164897198778</v>
      </c>
      <c r="O1484" s="224">
        <f t="shared" si="641"/>
        <v>0</v>
      </c>
      <c r="P1484" s="224">
        <f t="shared" si="642"/>
        <v>0</v>
      </c>
      <c r="Q1484" s="292"/>
    </row>
    <row r="1485" spans="1:18" hidden="1" outlineLevel="1">
      <c r="A1485" s="271" t="s">
        <v>1201</v>
      </c>
      <c r="B1485" s="1346" t="s">
        <v>659</v>
      </c>
      <c r="C1485" s="1332">
        <v>51778</v>
      </c>
      <c r="D1485" s="1317" t="s">
        <v>433</v>
      </c>
      <c r="E1485" s="1347" t="s">
        <v>349</v>
      </c>
      <c r="F1485" s="1313" t="s">
        <v>430</v>
      </c>
      <c r="G1485" s="1349">
        <v>9.9339999999999998E-2</v>
      </c>
      <c r="H1485" s="222">
        <f t="shared" si="652"/>
        <v>597.79712479945442</v>
      </c>
      <c r="I1485" s="1491">
        <f t="shared" si="653"/>
        <v>597.79712479945442</v>
      </c>
      <c r="J1485" s="1491"/>
      <c r="K1485" s="1491"/>
      <c r="L1485" s="1347" t="s">
        <v>349</v>
      </c>
      <c r="M1485" s="223">
        <f t="shared" si="644"/>
        <v>59.385166377577804</v>
      </c>
      <c r="N1485" s="224">
        <f t="shared" si="640"/>
        <v>59.385166377577804</v>
      </c>
      <c r="O1485" s="224">
        <f t="shared" si="641"/>
        <v>0</v>
      </c>
      <c r="P1485" s="224">
        <f t="shared" si="642"/>
        <v>0</v>
      </c>
      <c r="Q1485" s="292"/>
    </row>
    <row r="1486" spans="1:18" ht="13.8" hidden="1" outlineLevel="1" thickBot="1">
      <c r="A1486" s="225" t="s">
        <v>1201</v>
      </c>
      <c r="B1486" s="1350" t="s">
        <v>461</v>
      </c>
      <c r="C1486" s="1336">
        <v>60447</v>
      </c>
      <c r="D1486" s="1321" t="s">
        <v>433</v>
      </c>
      <c r="E1486" s="1351" t="s">
        <v>349</v>
      </c>
      <c r="F1486" s="1321" t="s">
        <v>430</v>
      </c>
      <c r="G1486" s="1352">
        <v>9.9339999999999998E-2</v>
      </c>
      <c r="H1486" s="226">
        <f t="shared" si="652"/>
        <v>34072.433443134061</v>
      </c>
      <c r="I1486" s="1493">
        <f t="shared" si="653"/>
        <v>34072.433443134061</v>
      </c>
      <c r="J1486" s="1493"/>
      <c r="K1486" s="1493"/>
      <c r="L1486" s="1351" t="s">
        <v>349</v>
      </c>
      <c r="M1486" s="227">
        <f t="shared" si="644"/>
        <v>3384.7555382409378</v>
      </c>
      <c r="N1486" s="228">
        <f t="shared" si="640"/>
        <v>3384.7555382409378</v>
      </c>
      <c r="O1486" s="228">
        <f t="shared" si="641"/>
        <v>0</v>
      </c>
      <c r="P1486" s="228">
        <f t="shared" si="642"/>
        <v>0</v>
      </c>
      <c r="Q1486" s="518"/>
      <c r="R1486" s="512">
        <f>SUM(M1454:M1486)</f>
        <v>12955.555336727832</v>
      </c>
    </row>
    <row r="1487" spans="1:18" ht="13.8" collapsed="1" thickBot="1">
      <c r="A1487" s="193" t="s">
        <v>1199</v>
      </c>
      <c r="B1487" s="212"/>
      <c r="C1487" s="212"/>
      <c r="D1487" s="212"/>
      <c r="E1487" s="213"/>
      <c r="F1487" s="214"/>
      <c r="G1487" s="194"/>
      <c r="H1487" s="779">
        <f>SUM(H1355:H1486)</f>
        <v>522488.7057677671</v>
      </c>
      <c r="I1487" s="231">
        <f>SUM(I1355:I1486)</f>
        <v>522488.7057677671</v>
      </c>
      <c r="J1487" s="231">
        <f>SUM(J1355:J1486)</f>
        <v>0</v>
      </c>
      <c r="K1487" s="231">
        <f>SUM(K1355:K1486)</f>
        <v>0</v>
      </c>
      <c r="L1487" s="231"/>
      <c r="M1487" s="232">
        <f>SUM(M1355:M1486)</f>
        <v>52499.217258302473</v>
      </c>
      <c r="N1487" s="1411">
        <f>SUM(N1355:N1486)</f>
        <v>52499.217258302473</v>
      </c>
      <c r="O1487" s="1412">
        <f>SUM(O1355:O1486)</f>
        <v>0</v>
      </c>
      <c r="P1487" s="241">
        <f>SUM(P1355:P1486)</f>
        <v>0</v>
      </c>
      <c r="Q1487" s="241"/>
    </row>
    <row r="1493" spans="18:18">
      <c r="R1493" s="519"/>
    </row>
  </sheetData>
  <customSheetViews>
    <customSheetView guid="{9D39536F-7A22-4529-9C64-FD3A1A808A75}">
      <selection activeCell="I9" sqref="I9"/>
      <pageMargins left="0.7" right="0.7" top="0.75" bottom="0.75" header="0.3" footer="0.3"/>
      <pageSetup paperSize="9" orientation="portrait" r:id="rId1"/>
    </customSheetView>
    <customSheetView guid="{6C236B63-681D-4F29-AD2F-15CCCBE175D6}">
      <selection activeCell="I9" sqref="I9"/>
      <pageMargins left="0.7" right="0.7" top="0.75" bottom="0.75" header="0.3" footer="0.3"/>
      <pageSetup paperSize="9" orientation="portrait" r:id="rId2"/>
    </customSheetView>
    <customSheetView guid="{2DAF91AD-ADBA-4D7F-A05E-C1061079573C}" topLeftCell="A4">
      <selection activeCell="I9" sqref="I9"/>
      <pageMargins left="0.7" right="0.7" top="0.75" bottom="0.75" header="0.3" footer="0.3"/>
      <pageSetup paperSize="9" orientation="portrait" r:id="rId3"/>
    </customSheetView>
  </customSheetViews>
  <mergeCells count="80">
    <mergeCell ref="T1352:U1352"/>
    <mergeCell ref="T1050:U1050"/>
    <mergeCell ref="I1353:J1353"/>
    <mergeCell ref="F1354:H1354"/>
    <mergeCell ref="I1188:J1188"/>
    <mergeCell ref="F1189:H1189"/>
    <mergeCell ref="S1195:T1195"/>
    <mergeCell ref="J752:M752"/>
    <mergeCell ref="J884:M884"/>
    <mergeCell ref="A1188:E1188"/>
    <mergeCell ref="A886:E886"/>
    <mergeCell ref="A587:E587"/>
    <mergeCell ref="A5:E5"/>
    <mergeCell ref="A292:E292"/>
    <mergeCell ref="H3:K3"/>
    <mergeCell ref="M3:Q3"/>
    <mergeCell ref="G3:G4"/>
    <mergeCell ref="J170:M170"/>
    <mergeCell ref="J290:M290"/>
    <mergeCell ref="B3:B4"/>
    <mergeCell ref="A3:A4"/>
    <mergeCell ref="C3:C4"/>
    <mergeCell ref="D3:D4"/>
    <mergeCell ref="F3:F4"/>
    <mergeCell ref="E3:E4"/>
    <mergeCell ref="S6:T6"/>
    <mergeCell ref="W6:Y6"/>
    <mergeCell ref="S7:T7"/>
    <mergeCell ref="J585:M585"/>
    <mergeCell ref="J457:M457"/>
    <mergeCell ref="S8:T8"/>
    <mergeCell ref="S9:T9"/>
    <mergeCell ref="S10:T10"/>
    <mergeCell ref="S11:T11"/>
    <mergeCell ref="S12:T12"/>
    <mergeCell ref="S13:T13"/>
    <mergeCell ref="S293:T293"/>
    <mergeCell ref="W293:Y293"/>
    <mergeCell ref="S294:T294"/>
    <mergeCell ref="S295:T295"/>
    <mergeCell ref="S296:T296"/>
    <mergeCell ref="S297:T297"/>
    <mergeCell ref="S298:T298"/>
    <mergeCell ref="S299:T299"/>
    <mergeCell ref="S300:T300"/>
    <mergeCell ref="S588:T588"/>
    <mergeCell ref="W588:Y588"/>
    <mergeCell ref="S589:T589"/>
    <mergeCell ref="S590:T590"/>
    <mergeCell ref="S591:T591"/>
    <mergeCell ref="S592:T592"/>
    <mergeCell ref="S593:T593"/>
    <mergeCell ref="S594:T594"/>
    <mergeCell ref="S595:T595"/>
    <mergeCell ref="S887:T887"/>
    <mergeCell ref="W887:Y887"/>
    <mergeCell ref="S888:T888"/>
    <mergeCell ref="S889:T889"/>
    <mergeCell ref="S890:T890"/>
    <mergeCell ref="S891:T891"/>
    <mergeCell ref="S892:T892"/>
    <mergeCell ref="S893:T893"/>
    <mergeCell ref="S894:T894"/>
    <mergeCell ref="S1189:T1189"/>
    <mergeCell ref="W1189:Y1189"/>
    <mergeCell ref="Z1189:AC1189"/>
    <mergeCell ref="AD1189:AF1189"/>
    <mergeCell ref="S1190:T1190"/>
    <mergeCell ref="Z1190:AA1190"/>
    <mergeCell ref="S1191:T1191"/>
    <mergeCell ref="Z1191:AA1191"/>
    <mergeCell ref="Z1195:AA1195"/>
    <mergeCell ref="S1196:T1196"/>
    <mergeCell ref="Z1196:AA1196"/>
    <mergeCell ref="S1192:T1192"/>
    <mergeCell ref="Z1192:AA1192"/>
    <mergeCell ref="S1193:T1193"/>
    <mergeCell ref="Z1193:AA1193"/>
    <mergeCell ref="S1194:T1194"/>
    <mergeCell ref="Z1194:AA1194"/>
  </mergeCells>
  <pageMargins left="0.7" right="0.7" top="0.75" bottom="0.75" header="0.3" footer="0.3"/>
  <pageSetup paperSize="9" orientation="portrait" r:id="rId4"/>
  <ignoredErrors>
    <ignoredError sqref="H488:H491 H886 H465:H486 H516:H517 H494:H514 H519:H538 H542:H572 H583:H584 H576:H581 H304:H339 H294:H299 H350:H381 H386:H421 H426:H455 H6:H12 H17:H52 H58:H94 H139:H140 H99:H134 H164:H168 H141:H142 H143:H144 H145:H146 H147:H163" formulaRange="1"/>
    <ignoredError sqref="M417 M428 M1050:N1052" formula="1"/>
    <ignoredError sqref="H492:H493" formula="1" formulaRange="1"/>
  </ignoredErrors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I139"/>
  <sheetViews>
    <sheetView zoomScale="90" zoomScaleNormal="90" workbookViewId="0">
      <pane xSplit="8" ySplit="5" topLeftCell="I6" activePane="bottomRight" state="frozen"/>
      <selection activeCell="AB8" sqref="AB8"/>
      <selection pane="topRight" activeCell="AB8" sqref="AB8"/>
      <selection pane="bottomLeft" activeCell="AB8" sqref="AB8"/>
      <selection pane="bottomRight" sqref="A1:XFD1"/>
    </sheetView>
  </sheetViews>
  <sheetFormatPr defaultRowHeight="14.4" outlineLevelCol="1"/>
  <cols>
    <col min="1" max="1" width="5.5546875" style="144" customWidth="1"/>
    <col min="2" max="2" width="12.88671875" style="144" customWidth="1"/>
    <col min="3" max="3" width="41.33203125" style="141" customWidth="1"/>
    <col min="4" max="4" width="6.6640625" style="141" customWidth="1"/>
    <col min="5" max="5" width="18.88671875" style="141" customWidth="1"/>
    <col min="6" max="6" width="14.33203125" style="141" customWidth="1"/>
    <col min="7" max="7" width="10.44140625" style="141" customWidth="1"/>
    <col min="8" max="8" width="8.6640625" style="141" customWidth="1"/>
    <col min="9" max="12" width="9" style="253" customWidth="1"/>
    <col min="13" max="15" width="9.109375" style="253" hidden="1" customWidth="1" outlineLevel="1"/>
    <col min="16" max="16" width="9" style="253" customWidth="1" collapsed="1"/>
    <col min="17" max="19" width="9" style="253" customWidth="1"/>
    <col min="20" max="22" width="9.109375" style="253" hidden="1" customWidth="1" outlineLevel="1"/>
    <col min="23" max="23" width="9" style="253" customWidth="1" collapsed="1"/>
    <col min="24" max="26" width="9" style="253" customWidth="1"/>
    <col min="27" max="29" width="9.109375" style="253" hidden="1" customWidth="1" outlineLevel="1"/>
    <col min="30" max="30" width="9.109375" style="253" customWidth="1" collapsed="1"/>
    <col min="31" max="33" width="9.109375" style="253" customWidth="1"/>
    <col min="34" max="36" width="9.109375" style="253" hidden="1" customWidth="1" outlineLevel="1"/>
    <col min="37" max="37" width="9.109375" style="141" customWidth="1" collapsed="1"/>
    <col min="38" max="43" width="9.109375" style="141" customWidth="1"/>
    <col min="44" max="46" width="11" style="141" bestFit="1" customWidth="1"/>
    <col min="47" max="48" width="8.77734375" style="141" bestFit="1" customWidth="1"/>
    <col min="49" max="49" width="13.88671875" style="141" customWidth="1"/>
    <col min="50" max="50" width="11.21875" style="141" customWidth="1"/>
    <col min="51" max="51" width="13.33203125" style="141" customWidth="1"/>
    <col min="52" max="55" width="9.5546875" style="141" customWidth="1"/>
    <col min="56" max="57" width="13.109375" style="141" customWidth="1"/>
    <col min="58" max="67" width="10" style="141" customWidth="1"/>
    <col min="68" max="87" width="8.88671875" style="444"/>
    <col min="88" max="265" width="8.88671875" style="141"/>
    <col min="266" max="266" width="23.6640625" style="141" customWidth="1"/>
    <col min="267" max="267" width="13.6640625" style="141" customWidth="1"/>
    <col min="268" max="268" width="10.33203125" style="141" customWidth="1"/>
    <col min="269" max="270" width="13" style="141" customWidth="1"/>
    <col min="271" max="271" width="10.77734375" style="141" customWidth="1"/>
    <col min="272" max="274" width="13.6640625" style="141" customWidth="1"/>
    <col min="275" max="275" width="8.109375" style="141" customWidth="1"/>
    <col min="276" max="276" width="14.33203125" style="141" customWidth="1"/>
    <col min="277" max="278" width="16" style="141" customWidth="1"/>
    <col min="279" max="279" width="10.6640625" style="141" customWidth="1"/>
    <col min="280" max="280" width="12.33203125" style="141" customWidth="1"/>
    <col min="281" max="281" width="14" style="141" customWidth="1"/>
    <col min="282" max="282" width="12.44140625" style="141" customWidth="1"/>
    <col min="283" max="283" width="13.6640625" style="141" customWidth="1"/>
    <col min="284" max="284" width="15.77734375" style="141" customWidth="1"/>
    <col min="285" max="290" width="0" style="141" hidden="1" customWidth="1"/>
    <col min="291" max="291" width="8.6640625" style="141" customWidth="1"/>
    <col min="292" max="293" width="0" style="141" hidden="1" customWidth="1"/>
    <col min="294" max="294" width="13.6640625" style="141" customWidth="1"/>
    <col min="295" max="297" width="0" style="141" hidden="1" customWidth="1"/>
    <col min="298" max="298" width="13.77734375" style="141" customWidth="1"/>
    <col min="299" max="300" width="15.77734375" style="141" customWidth="1"/>
    <col min="301" max="301" width="9.33203125" style="141" customWidth="1"/>
    <col min="302" max="304" width="8.88671875" style="141"/>
    <col min="305" max="305" width="10.44140625" style="141" bestFit="1" customWidth="1"/>
    <col min="306" max="307" width="8.88671875" style="141"/>
    <col min="308" max="308" width="11.6640625" style="141" customWidth="1"/>
    <col min="309" max="309" width="13.44140625" style="141" customWidth="1"/>
    <col min="310" max="310" width="10.77734375" style="141" customWidth="1"/>
    <col min="311" max="311" width="10" style="141" customWidth="1"/>
    <col min="312" max="521" width="8.88671875" style="141"/>
    <col min="522" max="522" width="23.6640625" style="141" customWidth="1"/>
    <col min="523" max="523" width="13.6640625" style="141" customWidth="1"/>
    <col min="524" max="524" width="10.33203125" style="141" customWidth="1"/>
    <col min="525" max="526" width="13" style="141" customWidth="1"/>
    <col min="527" max="527" width="10.77734375" style="141" customWidth="1"/>
    <col min="528" max="530" width="13.6640625" style="141" customWidth="1"/>
    <col min="531" max="531" width="8.109375" style="141" customWidth="1"/>
    <col min="532" max="532" width="14.33203125" style="141" customWidth="1"/>
    <col min="533" max="534" width="16" style="141" customWidth="1"/>
    <col min="535" max="535" width="10.6640625" style="141" customWidth="1"/>
    <col min="536" max="536" width="12.33203125" style="141" customWidth="1"/>
    <col min="537" max="537" width="14" style="141" customWidth="1"/>
    <col min="538" max="538" width="12.44140625" style="141" customWidth="1"/>
    <col min="539" max="539" width="13.6640625" style="141" customWidth="1"/>
    <col min="540" max="540" width="15.77734375" style="141" customWidth="1"/>
    <col min="541" max="546" width="0" style="141" hidden="1" customWidth="1"/>
    <col min="547" max="547" width="8.6640625" style="141" customWidth="1"/>
    <col min="548" max="549" width="0" style="141" hidden="1" customWidth="1"/>
    <col min="550" max="550" width="13.6640625" style="141" customWidth="1"/>
    <col min="551" max="553" width="0" style="141" hidden="1" customWidth="1"/>
    <col min="554" max="554" width="13.77734375" style="141" customWidth="1"/>
    <col min="555" max="556" width="15.77734375" style="141" customWidth="1"/>
    <col min="557" max="557" width="9.33203125" style="141" customWidth="1"/>
    <col min="558" max="560" width="8.88671875" style="141"/>
    <col min="561" max="561" width="10.44140625" style="141" bestFit="1" customWidth="1"/>
    <col min="562" max="563" width="8.88671875" style="141"/>
    <col min="564" max="564" width="11.6640625" style="141" customWidth="1"/>
    <col min="565" max="565" width="13.44140625" style="141" customWidth="1"/>
    <col min="566" max="566" width="10.77734375" style="141" customWidth="1"/>
    <col min="567" max="567" width="10" style="141" customWidth="1"/>
    <col min="568" max="777" width="8.88671875" style="141"/>
    <col min="778" max="778" width="23.6640625" style="141" customWidth="1"/>
    <col min="779" max="779" width="13.6640625" style="141" customWidth="1"/>
    <col min="780" max="780" width="10.33203125" style="141" customWidth="1"/>
    <col min="781" max="782" width="13" style="141" customWidth="1"/>
    <col min="783" max="783" width="10.77734375" style="141" customWidth="1"/>
    <col min="784" max="786" width="13.6640625" style="141" customWidth="1"/>
    <col min="787" max="787" width="8.109375" style="141" customWidth="1"/>
    <col min="788" max="788" width="14.33203125" style="141" customWidth="1"/>
    <col min="789" max="790" width="16" style="141" customWidth="1"/>
    <col min="791" max="791" width="10.6640625" style="141" customWidth="1"/>
    <col min="792" max="792" width="12.33203125" style="141" customWidth="1"/>
    <col min="793" max="793" width="14" style="141" customWidth="1"/>
    <col min="794" max="794" width="12.44140625" style="141" customWidth="1"/>
    <col min="795" max="795" width="13.6640625" style="141" customWidth="1"/>
    <col min="796" max="796" width="15.77734375" style="141" customWidth="1"/>
    <col min="797" max="802" width="0" style="141" hidden="1" customWidth="1"/>
    <col min="803" max="803" width="8.6640625" style="141" customWidth="1"/>
    <col min="804" max="805" width="0" style="141" hidden="1" customWidth="1"/>
    <col min="806" max="806" width="13.6640625" style="141" customWidth="1"/>
    <col min="807" max="809" width="0" style="141" hidden="1" customWidth="1"/>
    <col min="810" max="810" width="13.77734375" style="141" customWidth="1"/>
    <col min="811" max="812" width="15.77734375" style="141" customWidth="1"/>
    <col min="813" max="813" width="9.33203125" style="141" customWidth="1"/>
    <col min="814" max="816" width="8.88671875" style="141"/>
    <col min="817" max="817" width="10.44140625" style="141" bestFit="1" customWidth="1"/>
    <col min="818" max="819" width="8.88671875" style="141"/>
    <col min="820" max="820" width="11.6640625" style="141" customWidth="1"/>
    <col min="821" max="821" width="13.44140625" style="141" customWidth="1"/>
    <col min="822" max="822" width="10.77734375" style="141" customWidth="1"/>
    <col min="823" max="823" width="10" style="141" customWidth="1"/>
    <col min="824" max="1033" width="8.88671875" style="141"/>
    <col min="1034" max="1034" width="23.6640625" style="141" customWidth="1"/>
    <col min="1035" max="1035" width="13.6640625" style="141" customWidth="1"/>
    <col min="1036" max="1036" width="10.33203125" style="141" customWidth="1"/>
    <col min="1037" max="1038" width="13" style="141" customWidth="1"/>
    <col min="1039" max="1039" width="10.77734375" style="141" customWidth="1"/>
    <col min="1040" max="1042" width="13.6640625" style="141" customWidth="1"/>
    <col min="1043" max="1043" width="8.109375" style="141" customWidth="1"/>
    <col min="1044" max="1044" width="14.33203125" style="141" customWidth="1"/>
    <col min="1045" max="1046" width="16" style="141" customWidth="1"/>
    <col min="1047" max="1047" width="10.6640625" style="141" customWidth="1"/>
    <col min="1048" max="1048" width="12.33203125" style="141" customWidth="1"/>
    <col min="1049" max="1049" width="14" style="141" customWidth="1"/>
    <col min="1050" max="1050" width="12.44140625" style="141" customWidth="1"/>
    <col min="1051" max="1051" width="13.6640625" style="141" customWidth="1"/>
    <col min="1052" max="1052" width="15.77734375" style="141" customWidth="1"/>
    <col min="1053" max="1058" width="0" style="141" hidden="1" customWidth="1"/>
    <col min="1059" max="1059" width="8.6640625" style="141" customWidth="1"/>
    <col min="1060" max="1061" width="0" style="141" hidden="1" customWidth="1"/>
    <col min="1062" max="1062" width="13.6640625" style="141" customWidth="1"/>
    <col min="1063" max="1065" width="0" style="141" hidden="1" customWidth="1"/>
    <col min="1066" max="1066" width="13.77734375" style="141" customWidth="1"/>
    <col min="1067" max="1068" width="15.77734375" style="141" customWidth="1"/>
    <col min="1069" max="1069" width="9.33203125" style="141" customWidth="1"/>
    <col min="1070" max="1072" width="8.88671875" style="141"/>
    <col min="1073" max="1073" width="10.44140625" style="141" bestFit="1" customWidth="1"/>
    <col min="1074" max="1075" width="8.88671875" style="141"/>
    <col min="1076" max="1076" width="11.6640625" style="141" customWidth="1"/>
    <col min="1077" max="1077" width="13.44140625" style="141" customWidth="1"/>
    <col min="1078" max="1078" width="10.77734375" style="141" customWidth="1"/>
    <col min="1079" max="1079" width="10" style="141" customWidth="1"/>
    <col min="1080" max="1289" width="8.88671875" style="141"/>
    <col min="1290" max="1290" width="23.6640625" style="141" customWidth="1"/>
    <col min="1291" max="1291" width="13.6640625" style="141" customWidth="1"/>
    <col min="1292" max="1292" width="10.33203125" style="141" customWidth="1"/>
    <col min="1293" max="1294" width="13" style="141" customWidth="1"/>
    <col min="1295" max="1295" width="10.77734375" style="141" customWidth="1"/>
    <col min="1296" max="1298" width="13.6640625" style="141" customWidth="1"/>
    <col min="1299" max="1299" width="8.109375" style="141" customWidth="1"/>
    <col min="1300" max="1300" width="14.33203125" style="141" customWidth="1"/>
    <col min="1301" max="1302" width="16" style="141" customWidth="1"/>
    <col min="1303" max="1303" width="10.6640625" style="141" customWidth="1"/>
    <col min="1304" max="1304" width="12.33203125" style="141" customWidth="1"/>
    <col min="1305" max="1305" width="14" style="141" customWidth="1"/>
    <col min="1306" max="1306" width="12.44140625" style="141" customWidth="1"/>
    <col min="1307" max="1307" width="13.6640625" style="141" customWidth="1"/>
    <col min="1308" max="1308" width="15.77734375" style="141" customWidth="1"/>
    <col min="1309" max="1314" width="0" style="141" hidden="1" customWidth="1"/>
    <col min="1315" max="1315" width="8.6640625" style="141" customWidth="1"/>
    <col min="1316" max="1317" width="0" style="141" hidden="1" customWidth="1"/>
    <col min="1318" max="1318" width="13.6640625" style="141" customWidth="1"/>
    <col min="1319" max="1321" width="0" style="141" hidden="1" customWidth="1"/>
    <col min="1322" max="1322" width="13.77734375" style="141" customWidth="1"/>
    <col min="1323" max="1324" width="15.77734375" style="141" customWidth="1"/>
    <col min="1325" max="1325" width="9.33203125" style="141" customWidth="1"/>
    <col min="1326" max="1328" width="8.88671875" style="141"/>
    <col min="1329" max="1329" width="10.44140625" style="141" bestFit="1" customWidth="1"/>
    <col min="1330" max="1331" width="8.88671875" style="141"/>
    <col min="1332" max="1332" width="11.6640625" style="141" customWidth="1"/>
    <col min="1333" max="1333" width="13.44140625" style="141" customWidth="1"/>
    <col min="1334" max="1334" width="10.77734375" style="141" customWidth="1"/>
    <col min="1335" max="1335" width="10" style="141" customWidth="1"/>
    <col min="1336" max="1545" width="8.88671875" style="141"/>
    <col min="1546" max="1546" width="23.6640625" style="141" customWidth="1"/>
    <col min="1547" max="1547" width="13.6640625" style="141" customWidth="1"/>
    <col min="1548" max="1548" width="10.33203125" style="141" customWidth="1"/>
    <col min="1549" max="1550" width="13" style="141" customWidth="1"/>
    <col min="1551" max="1551" width="10.77734375" style="141" customWidth="1"/>
    <col min="1552" max="1554" width="13.6640625" style="141" customWidth="1"/>
    <col min="1555" max="1555" width="8.109375" style="141" customWidth="1"/>
    <col min="1556" max="1556" width="14.33203125" style="141" customWidth="1"/>
    <col min="1557" max="1558" width="16" style="141" customWidth="1"/>
    <col min="1559" max="1559" width="10.6640625" style="141" customWidth="1"/>
    <col min="1560" max="1560" width="12.33203125" style="141" customWidth="1"/>
    <col min="1561" max="1561" width="14" style="141" customWidth="1"/>
    <col min="1562" max="1562" width="12.44140625" style="141" customWidth="1"/>
    <col min="1563" max="1563" width="13.6640625" style="141" customWidth="1"/>
    <col min="1564" max="1564" width="15.77734375" style="141" customWidth="1"/>
    <col min="1565" max="1570" width="0" style="141" hidden="1" customWidth="1"/>
    <col min="1571" max="1571" width="8.6640625" style="141" customWidth="1"/>
    <col min="1572" max="1573" width="0" style="141" hidden="1" customWidth="1"/>
    <col min="1574" max="1574" width="13.6640625" style="141" customWidth="1"/>
    <col min="1575" max="1577" width="0" style="141" hidden="1" customWidth="1"/>
    <col min="1578" max="1578" width="13.77734375" style="141" customWidth="1"/>
    <col min="1579" max="1580" width="15.77734375" style="141" customWidth="1"/>
    <col min="1581" max="1581" width="9.33203125" style="141" customWidth="1"/>
    <col min="1582" max="1584" width="8.88671875" style="141"/>
    <col min="1585" max="1585" width="10.44140625" style="141" bestFit="1" customWidth="1"/>
    <col min="1586" max="1587" width="8.88671875" style="141"/>
    <col min="1588" max="1588" width="11.6640625" style="141" customWidth="1"/>
    <col min="1589" max="1589" width="13.44140625" style="141" customWidth="1"/>
    <col min="1590" max="1590" width="10.77734375" style="141" customWidth="1"/>
    <col min="1591" max="1591" width="10" style="141" customWidth="1"/>
    <col min="1592" max="1801" width="8.88671875" style="141"/>
    <col min="1802" max="1802" width="23.6640625" style="141" customWidth="1"/>
    <col min="1803" max="1803" width="13.6640625" style="141" customWidth="1"/>
    <col min="1804" max="1804" width="10.33203125" style="141" customWidth="1"/>
    <col min="1805" max="1806" width="13" style="141" customWidth="1"/>
    <col min="1807" max="1807" width="10.77734375" style="141" customWidth="1"/>
    <col min="1808" max="1810" width="13.6640625" style="141" customWidth="1"/>
    <col min="1811" max="1811" width="8.109375" style="141" customWidth="1"/>
    <col min="1812" max="1812" width="14.33203125" style="141" customWidth="1"/>
    <col min="1813" max="1814" width="16" style="141" customWidth="1"/>
    <col min="1815" max="1815" width="10.6640625" style="141" customWidth="1"/>
    <col min="1816" max="1816" width="12.33203125" style="141" customWidth="1"/>
    <col min="1817" max="1817" width="14" style="141" customWidth="1"/>
    <col min="1818" max="1818" width="12.44140625" style="141" customWidth="1"/>
    <col min="1819" max="1819" width="13.6640625" style="141" customWidth="1"/>
    <col min="1820" max="1820" width="15.77734375" style="141" customWidth="1"/>
    <col min="1821" max="1826" width="0" style="141" hidden="1" customWidth="1"/>
    <col min="1827" max="1827" width="8.6640625" style="141" customWidth="1"/>
    <col min="1828" max="1829" width="0" style="141" hidden="1" customWidth="1"/>
    <col min="1830" max="1830" width="13.6640625" style="141" customWidth="1"/>
    <col min="1831" max="1833" width="0" style="141" hidden="1" customWidth="1"/>
    <col min="1834" max="1834" width="13.77734375" style="141" customWidth="1"/>
    <col min="1835" max="1836" width="15.77734375" style="141" customWidth="1"/>
    <col min="1837" max="1837" width="9.33203125" style="141" customWidth="1"/>
    <col min="1838" max="1840" width="8.88671875" style="141"/>
    <col min="1841" max="1841" width="10.44140625" style="141" bestFit="1" customWidth="1"/>
    <col min="1842" max="1843" width="8.88671875" style="141"/>
    <col min="1844" max="1844" width="11.6640625" style="141" customWidth="1"/>
    <col min="1845" max="1845" width="13.44140625" style="141" customWidth="1"/>
    <col min="1846" max="1846" width="10.77734375" style="141" customWidth="1"/>
    <col min="1847" max="1847" width="10" style="141" customWidth="1"/>
    <col min="1848" max="2057" width="8.88671875" style="141"/>
    <col min="2058" max="2058" width="23.6640625" style="141" customWidth="1"/>
    <col min="2059" max="2059" width="13.6640625" style="141" customWidth="1"/>
    <col min="2060" max="2060" width="10.33203125" style="141" customWidth="1"/>
    <col min="2061" max="2062" width="13" style="141" customWidth="1"/>
    <col min="2063" max="2063" width="10.77734375" style="141" customWidth="1"/>
    <col min="2064" max="2066" width="13.6640625" style="141" customWidth="1"/>
    <col min="2067" max="2067" width="8.109375" style="141" customWidth="1"/>
    <col min="2068" max="2068" width="14.33203125" style="141" customWidth="1"/>
    <col min="2069" max="2070" width="16" style="141" customWidth="1"/>
    <col min="2071" max="2071" width="10.6640625" style="141" customWidth="1"/>
    <col min="2072" max="2072" width="12.33203125" style="141" customWidth="1"/>
    <col min="2073" max="2073" width="14" style="141" customWidth="1"/>
    <col min="2074" max="2074" width="12.44140625" style="141" customWidth="1"/>
    <col min="2075" max="2075" width="13.6640625" style="141" customWidth="1"/>
    <col min="2076" max="2076" width="15.77734375" style="141" customWidth="1"/>
    <col min="2077" max="2082" width="0" style="141" hidden="1" customWidth="1"/>
    <col min="2083" max="2083" width="8.6640625" style="141" customWidth="1"/>
    <col min="2084" max="2085" width="0" style="141" hidden="1" customWidth="1"/>
    <col min="2086" max="2086" width="13.6640625" style="141" customWidth="1"/>
    <col min="2087" max="2089" width="0" style="141" hidden="1" customWidth="1"/>
    <col min="2090" max="2090" width="13.77734375" style="141" customWidth="1"/>
    <col min="2091" max="2092" width="15.77734375" style="141" customWidth="1"/>
    <col min="2093" max="2093" width="9.33203125" style="141" customWidth="1"/>
    <col min="2094" max="2096" width="8.88671875" style="141"/>
    <col min="2097" max="2097" width="10.44140625" style="141" bestFit="1" customWidth="1"/>
    <col min="2098" max="2099" width="8.88671875" style="141"/>
    <col min="2100" max="2100" width="11.6640625" style="141" customWidth="1"/>
    <col min="2101" max="2101" width="13.44140625" style="141" customWidth="1"/>
    <col min="2102" max="2102" width="10.77734375" style="141" customWidth="1"/>
    <col min="2103" max="2103" width="10" style="141" customWidth="1"/>
    <col min="2104" max="2313" width="8.88671875" style="141"/>
    <col min="2314" max="2314" width="23.6640625" style="141" customWidth="1"/>
    <col min="2315" max="2315" width="13.6640625" style="141" customWidth="1"/>
    <col min="2316" max="2316" width="10.33203125" style="141" customWidth="1"/>
    <col min="2317" max="2318" width="13" style="141" customWidth="1"/>
    <col min="2319" max="2319" width="10.77734375" style="141" customWidth="1"/>
    <col min="2320" max="2322" width="13.6640625" style="141" customWidth="1"/>
    <col min="2323" max="2323" width="8.109375" style="141" customWidth="1"/>
    <col min="2324" max="2324" width="14.33203125" style="141" customWidth="1"/>
    <col min="2325" max="2326" width="16" style="141" customWidth="1"/>
    <col min="2327" max="2327" width="10.6640625" style="141" customWidth="1"/>
    <col min="2328" max="2328" width="12.33203125" style="141" customWidth="1"/>
    <col min="2329" max="2329" width="14" style="141" customWidth="1"/>
    <col min="2330" max="2330" width="12.44140625" style="141" customWidth="1"/>
    <col min="2331" max="2331" width="13.6640625" style="141" customWidth="1"/>
    <col min="2332" max="2332" width="15.77734375" style="141" customWidth="1"/>
    <col min="2333" max="2338" width="0" style="141" hidden="1" customWidth="1"/>
    <col min="2339" max="2339" width="8.6640625" style="141" customWidth="1"/>
    <col min="2340" max="2341" width="0" style="141" hidden="1" customWidth="1"/>
    <col min="2342" max="2342" width="13.6640625" style="141" customWidth="1"/>
    <col min="2343" max="2345" width="0" style="141" hidden="1" customWidth="1"/>
    <col min="2346" max="2346" width="13.77734375" style="141" customWidth="1"/>
    <col min="2347" max="2348" width="15.77734375" style="141" customWidth="1"/>
    <col min="2349" max="2349" width="9.33203125" style="141" customWidth="1"/>
    <col min="2350" max="2352" width="8.88671875" style="141"/>
    <col min="2353" max="2353" width="10.44140625" style="141" bestFit="1" customWidth="1"/>
    <col min="2354" max="2355" width="8.88671875" style="141"/>
    <col min="2356" max="2356" width="11.6640625" style="141" customWidth="1"/>
    <col min="2357" max="2357" width="13.44140625" style="141" customWidth="1"/>
    <col min="2358" max="2358" width="10.77734375" style="141" customWidth="1"/>
    <col min="2359" max="2359" width="10" style="141" customWidth="1"/>
    <col min="2360" max="2569" width="8.88671875" style="141"/>
    <col min="2570" max="2570" width="23.6640625" style="141" customWidth="1"/>
    <col min="2571" max="2571" width="13.6640625" style="141" customWidth="1"/>
    <col min="2572" max="2572" width="10.33203125" style="141" customWidth="1"/>
    <col min="2573" max="2574" width="13" style="141" customWidth="1"/>
    <col min="2575" max="2575" width="10.77734375" style="141" customWidth="1"/>
    <col min="2576" max="2578" width="13.6640625" style="141" customWidth="1"/>
    <col min="2579" max="2579" width="8.109375" style="141" customWidth="1"/>
    <col min="2580" max="2580" width="14.33203125" style="141" customWidth="1"/>
    <col min="2581" max="2582" width="16" style="141" customWidth="1"/>
    <col min="2583" max="2583" width="10.6640625" style="141" customWidth="1"/>
    <col min="2584" max="2584" width="12.33203125" style="141" customWidth="1"/>
    <col min="2585" max="2585" width="14" style="141" customWidth="1"/>
    <col min="2586" max="2586" width="12.44140625" style="141" customWidth="1"/>
    <col min="2587" max="2587" width="13.6640625" style="141" customWidth="1"/>
    <col min="2588" max="2588" width="15.77734375" style="141" customWidth="1"/>
    <col min="2589" max="2594" width="0" style="141" hidden="1" customWidth="1"/>
    <col min="2595" max="2595" width="8.6640625" style="141" customWidth="1"/>
    <col min="2596" max="2597" width="0" style="141" hidden="1" customWidth="1"/>
    <col min="2598" max="2598" width="13.6640625" style="141" customWidth="1"/>
    <col min="2599" max="2601" width="0" style="141" hidden="1" customWidth="1"/>
    <col min="2602" max="2602" width="13.77734375" style="141" customWidth="1"/>
    <col min="2603" max="2604" width="15.77734375" style="141" customWidth="1"/>
    <col min="2605" max="2605" width="9.33203125" style="141" customWidth="1"/>
    <col min="2606" max="2608" width="8.88671875" style="141"/>
    <col min="2609" max="2609" width="10.44140625" style="141" bestFit="1" customWidth="1"/>
    <col min="2610" max="2611" width="8.88671875" style="141"/>
    <col min="2612" max="2612" width="11.6640625" style="141" customWidth="1"/>
    <col min="2613" max="2613" width="13.44140625" style="141" customWidth="1"/>
    <col min="2614" max="2614" width="10.77734375" style="141" customWidth="1"/>
    <col min="2615" max="2615" width="10" style="141" customWidth="1"/>
    <col min="2616" max="2825" width="8.88671875" style="141"/>
    <col min="2826" max="2826" width="23.6640625" style="141" customWidth="1"/>
    <col min="2827" max="2827" width="13.6640625" style="141" customWidth="1"/>
    <col min="2828" max="2828" width="10.33203125" style="141" customWidth="1"/>
    <col min="2829" max="2830" width="13" style="141" customWidth="1"/>
    <col min="2831" max="2831" width="10.77734375" style="141" customWidth="1"/>
    <col min="2832" max="2834" width="13.6640625" style="141" customWidth="1"/>
    <col min="2835" max="2835" width="8.109375" style="141" customWidth="1"/>
    <col min="2836" max="2836" width="14.33203125" style="141" customWidth="1"/>
    <col min="2837" max="2838" width="16" style="141" customWidth="1"/>
    <col min="2839" max="2839" width="10.6640625" style="141" customWidth="1"/>
    <col min="2840" max="2840" width="12.33203125" style="141" customWidth="1"/>
    <col min="2841" max="2841" width="14" style="141" customWidth="1"/>
    <col min="2842" max="2842" width="12.44140625" style="141" customWidth="1"/>
    <col min="2843" max="2843" width="13.6640625" style="141" customWidth="1"/>
    <col min="2844" max="2844" width="15.77734375" style="141" customWidth="1"/>
    <col min="2845" max="2850" width="0" style="141" hidden="1" customWidth="1"/>
    <col min="2851" max="2851" width="8.6640625" style="141" customWidth="1"/>
    <col min="2852" max="2853" width="0" style="141" hidden="1" customWidth="1"/>
    <col min="2854" max="2854" width="13.6640625" style="141" customWidth="1"/>
    <col min="2855" max="2857" width="0" style="141" hidden="1" customWidth="1"/>
    <col min="2858" max="2858" width="13.77734375" style="141" customWidth="1"/>
    <col min="2859" max="2860" width="15.77734375" style="141" customWidth="1"/>
    <col min="2861" max="2861" width="9.33203125" style="141" customWidth="1"/>
    <col min="2862" max="2864" width="8.88671875" style="141"/>
    <col min="2865" max="2865" width="10.44140625" style="141" bestFit="1" customWidth="1"/>
    <col min="2866" max="2867" width="8.88671875" style="141"/>
    <col min="2868" max="2868" width="11.6640625" style="141" customWidth="1"/>
    <col min="2869" max="2869" width="13.44140625" style="141" customWidth="1"/>
    <col min="2870" max="2870" width="10.77734375" style="141" customWidth="1"/>
    <col min="2871" max="2871" width="10" style="141" customWidth="1"/>
    <col min="2872" max="3081" width="8.88671875" style="141"/>
    <col min="3082" max="3082" width="23.6640625" style="141" customWidth="1"/>
    <col min="3083" max="3083" width="13.6640625" style="141" customWidth="1"/>
    <col min="3084" max="3084" width="10.33203125" style="141" customWidth="1"/>
    <col min="3085" max="3086" width="13" style="141" customWidth="1"/>
    <col min="3087" max="3087" width="10.77734375" style="141" customWidth="1"/>
    <col min="3088" max="3090" width="13.6640625" style="141" customWidth="1"/>
    <col min="3091" max="3091" width="8.109375" style="141" customWidth="1"/>
    <col min="3092" max="3092" width="14.33203125" style="141" customWidth="1"/>
    <col min="3093" max="3094" width="16" style="141" customWidth="1"/>
    <col min="3095" max="3095" width="10.6640625" style="141" customWidth="1"/>
    <col min="3096" max="3096" width="12.33203125" style="141" customWidth="1"/>
    <col min="3097" max="3097" width="14" style="141" customWidth="1"/>
    <col min="3098" max="3098" width="12.44140625" style="141" customWidth="1"/>
    <col min="3099" max="3099" width="13.6640625" style="141" customWidth="1"/>
    <col min="3100" max="3100" width="15.77734375" style="141" customWidth="1"/>
    <col min="3101" max="3106" width="0" style="141" hidden="1" customWidth="1"/>
    <col min="3107" max="3107" width="8.6640625" style="141" customWidth="1"/>
    <col min="3108" max="3109" width="0" style="141" hidden="1" customWidth="1"/>
    <col min="3110" max="3110" width="13.6640625" style="141" customWidth="1"/>
    <col min="3111" max="3113" width="0" style="141" hidden="1" customWidth="1"/>
    <col min="3114" max="3114" width="13.77734375" style="141" customWidth="1"/>
    <col min="3115" max="3116" width="15.77734375" style="141" customWidth="1"/>
    <col min="3117" max="3117" width="9.33203125" style="141" customWidth="1"/>
    <col min="3118" max="3120" width="8.88671875" style="141"/>
    <col min="3121" max="3121" width="10.44140625" style="141" bestFit="1" customWidth="1"/>
    <col min="3122" max="3123" width="8.88671875" style="141"/>
    <col min="3124" max="3124" width="11.6640625" style="141" customWidth="1"/>
    <col min="3125" max="3125" width="13.44140625" style="141" customWidth="1"/>
    <col min="3126" max="3126" width="10.77734375" style="141" customWidth="1"/>
    <col min="3127" max="3127" width="10" style="141" customWidth="1"/>
    <col min="3128" max="3337" width="8.88671875" style="141"/>
    <col min="3338" max="3338" width="23.6640625" style="141" customWidth="1"/>
    <col min="3339" max="3339" width="13.6640625" style="141" customWidth="1"/>
    <col min="3340" max="3340" width="10.33203125" style="141" customWidth="1"/>
    <col min="3341" max="3342" width="13" style="141" customWidth="1"/>
    <col min="3343" max="3343" width="10.77734375" style="141" customWidth="1"/>
    <col min="3344" max="3346" width="13.6640625" style="141" customWidth="1"/>
    <col min="3347" max="3347" width="8.109375" style="141" customWidth="1"/>
    <col min="3348" max="3348" width="14.33203125" style="141" customWidth="1"/>
    <col min="3349" max="3350" width="16" style="141" customWidth="1"/>
    <col min="3351" max="3351" width="10.6640625" style="141" customWidth="1"/>
    <col min="3352" max="3352" width="12.33203125" style="141" customWidth="1"/>
    <col min="3353" max="3353" width="14" style="141" customWidth="1"/>
    <col min="3354" max="3354" width="12.44140625" style="141" customWidth="1"/>
    <col min="3355" max="3355" width="13.6640625" style="141" customWidth="1"/>
    <col min="3356" max="3356" width="15.77734375" style="141" customWidth="1"/>
    <col min="3357" max="3362" width="0" style="141" hidden="1" customWidth="1"/>
    <col min="3363" max="3363" width="8.6640625" style="141" customWidth="1"/>
    <col min="3364" max="3365" width="0" style="141" hidden="1" customWidth="1"/>
    <col min="3366" max="3366" width="13.6640625" style="141" customWidth="1"/>
    <col min="3367" max="3369" width="0" style="141" hidden="1" customWidth="1"/>
    <col min="3370" max="3370" width="13.77734375" style="141" customWidth="1"/>
    <col min="3371" max="3372" width="15.77734375" style="141" customWidth="1"/>
    <col min="3373" max="3373" width="9.33203125" style="141" customWidth="1"/>
    <col min="3374" max="3376" width="8.88671875" style="141"/>
    <col min="3377" max="3377" width="10.44140625" style="141" bestFit="1" customWidth="1"/>
    <col min="3378" max="3379" width="8.88671875" style="141"/>
    <col min="3380" max="3380" width="11.6640625" style="141" customWidth="1"/>
    <col min="3381" max="3381" width="13.44140625" style="141" customWidth="1"/>
    <col min="3382" max="3382" width="10.77734375" style="141" customWidth="1"/>
    <col min="3383" max="3383" width="10" style="141" customWidth="1"/>
    <col min="3384" max="3593" width="8.88671875" style="141"/>
    <col min="3594" max="3594" width="23.6640625" style="141" customWidth="1"/>
    <col min="3595" max="3595" width="13.6640625" style="141" customWidth="1"/>
    <col min="3596" max="3596" width="10.33203125" style="141" customWidth="1"/>
    <col min="3597" max="3598" width="13" style="141" customWidth="1"/>
    <col min="3599" max="3599" width="10.77734375" style="141" customWidth="1"/>
    <col min="3600" max="3602" width="13.6640625" style="141" customWidth="1"/>
    <col min="3603" max="3603" width="8.109375" style="141" customWidth="1"/>
    <col min="3604" max="3604" width="14.33203125" style="141" customWidth="1"/>
    <col min="3605" max="3606" width="16" style="141" customWidth="1"/>
    <col min="3607" max="3607" width="10.6640625" style="141" customWidth="1"/>
    <col min="3608" max="3608" width="12.33203125" style="141" customWidth="1"/>
    <col min="3609" max="3609" width="14" style="141" customWidth="1"/>
    <col min="3610" max="3610" width="12.44140625" style="141" customWidth="1"/>
    <col min="3611" max="3611" width="13.6640625" style="141" customWidth="1"/>
    <col min="3612" max="3612" width="15.77734375" style="141" customWidth="1"/>
    <col min="3613" max="3618" width="0" style="141" hidden="1" customWidth="1"/>
    <col min="3619" max="3619" width="8.6640625" style="141" customWidth="1"/>
    <col min="3620" max="3621" width="0" style="141" hidden="1" customWidth="1"/>
    <col min="3622" max="3622" width="13.6640625" style="141" customWidth="1"/>
    <col min="3623" max="3625" width="0" style="141" hidden="1" customWidth="1"/>
    <col min="3626" max="3626" width="13.77734375" style="141" customWidth="1"/>
    <col min="3627" max="3628" width="15.77734375" style="141" customWidth="1"/>
    <col min="3629" max="3629" width="9.33203125" style="141" customWidth="1"/>
    <col min="3630" max="3632" width="8.88671875" style="141"/>
    <col min="3633" max="3633" width="10.44140625" style="141" bestFit="1" customWidth="1"/>
    <col min="3634" max="3635" width="8.88671875" style="141"/>
    <col min="3636" max="3636" width="11.6640625" style="141" customWidth="1"/>
    <col min="3637" max="3637" width="13.44140625" style="141" customWidth="1"/>
    <col min="3638" max="3638" width="10.77734375" style="141" customWidth="1"/>
    <col min="3639" max="3639" width="10" style="141" customWidth="1"/>
    <col min="3640" max="3849" width="8.88671875" style="141"/>
    <col min="3850" max="3850" width="23.6640625" style="141" customWidth="1"/>
    <col min="3851" max="3851" width="13.6640625" style="141" customWidth="1"/>
    <col min="3852" max="3852" width="10.33203125" style="141" customWidth="1"/>
    <col min="3853" max="3854" width="13" style="141" customWidth="1"/>
    <col min="3855" max="3855" width="10.77734375" style="141" customWidth="1"/>
    <col min="3856" max="3858" width="13.6640625" style="141" customWidth="1"/>
    <col min="3859" max="3859" width="8.109375" style="141" customWidth="1"/>
    <col min="3860" max="3860" width="14.33203125" style="141" customWidth="1"/>
    <col min="3861" max="3862" width="16" style="141" customWidth="1"/>
    <col min="3863" max="3863" width="10.6640625" style="141" customWidth="1"/>
    <col min="3864" max="3864" width="12.33203125" style="141" customWidth="1"/>
    <col min="3865" max="3865" width="14" style="141" customWidth="1"/>
    <col min="3866" max="3866" width="12.44140625" style="141" customWidth="1"/>
    <col min="3867" max="3867" width="13.6640625" style="141" customWidth="1"/>
    <col min="3868" max="3868" width="15.77734375" style="141" customWidth="1"/>
    <col min="3869" max="3874" width="0" style="141" hidden="1" customWidth="1"/>
    <col min="3875" max="3875" width="8.6640625" style="141" customWidth="1"/>
    <col min="3876" max="3877" width="0" style="141" hidden="1" customWidth="1"/>
    <col min="3878" max="3878" width="13.6640625" style="141" customWidth="1"/>
    <col min="3879" max="3881" width="0" style="141" hidden="1" customWidth="1"/>
    <col min="3882" max="3882" width="13.77734375" style="141" customWidth="1"/>
    <col min="3883" max="3884" width="15.77734375" style="141" customWidth="1"/>
    <col min="3885" max="3885" width="9.33203125" style="141" customWidth="1"/>
    <col min="3886" max="3888" width="8.88671875" style="141"/>
    <col min="3889" max="3889" width="10.44140625" style="141" bestFit="1" customWidth="1"/>
    <col min="3890" max="3891" width="8.88671875" style="141"/>
    <col min="3892" max="3892" width="11.6640625" style="141" customWidth="1"/>
    <col min="3893" max="3893" width="13.44140625" style="141" customWidth="1"/>
    <col min="3894" max="3894" width="10.77734375" style="141" customWidth="1"/>
    <col min="3895" max="3895" width="10" style="141" customWidth="1"/>
    <col min="3896" max="4105" width="8.88671875" style="141"/>
    <col min="4106" max="4106" width="23.6640625" style="141" customWidth="1"/>
    <col min="4107" max="4107" width="13.6640625" style="141" customWidth="1"/>
    <col min="4108" max="4108" width="10.33203125" style="141" customWidth="1"/>
    <col min="4109" max="4110" width="13" style="141" customWidth="1"/>
    <col min="4111" max="4111" width="10.77734375" style="141" customWidth="1"/>
    <col min="4112" max="4114" width="13.6640625" style="141" customWidth="1"/>
    <col min="4115" max="4115" width="8.109375" style="141" customWidth="1"/>
    <col min="4116" max="4116" width="14.33203125" style="141" customWidth="1"/>
    <col min="4117" max="4118" width="16" style="141" customWidth="1"/>
    <col min="4119" max="4119" width="10.6640625" style="141" customWidth="1"/>
    <col min="4120" max="4120" width="12.33203125" style="141" customWidth="1"/>
    <col min="4121" max="4121" width="14" style="141" customWidth="1"/>
    <col min="4122" max="4122" width="12.44140625" style="141" customWidth="1"/>
    <col min="4123" max="4123" width="13.6640625" style="141" customWidth="1"/>
    <col min="4124" max="4124" width="15.77734375" style="141" customWidth="1"/>
    <col min="4125" max="4130" width="0" style="141" hidden="1" customWidth="1"/>
    <col min="4131" max="4131" width="8.6640625" style="141" customWidth="1"/>
    <col min="4132" max="4133" width="0" style="141" hidden="1" customWidth="1"/>
    <col min="4134" max="4134" width="13.6640625" style="141" customWidth="1"/>
    <col min="4135" max="4137" width="0" style="141" hidden="1" customWidth="1"/>
    <col min="4138" max="4138" width="13.77734375" style="141" customWidth="1"/>
    <col min="4139" max="4140" width="15.77734375" style="141" customWidth="1"/>
    <col min="4141" max="4141" width="9.33203125" style="141" customWidth="1"/>
    <col min="4142" max="4144" width="8.88671875" style="141"/>
    <col min="4145" max="4145" width="10.44140625" style="141" bestFit="1" customWidth="1"/>
    <col min="4146" max="4147" width="8.88671875" style="141"/>
    <col min="4148" max="4148" width="11.6640625" style="141" customWidth="1"/>
    <col min="4149" max="4149" width="13.44140625" style="141" customWidth="1"/>
    <col min="4150" max="4150" width="10.77734375" style="141" customWidth="1"/>
    <col min="4151" max="4151" width="10" style="141" customWidth="1"/>
    <col min="4152" max="4361" width="8.88671875" style="141"/>
    <col min="4362" max="4362" width="23.6640625" style="141" customWidth="1"/>
    <col min="4363" max="4363" width="13.6640625" style="141" customWidth="1"/>
    <col min="4364" max="4364" width="10.33203125" style="141" customWidth="1"/>
    <col min="4365" max="4366" width="13" style="141" customWidth="1"/>
    <col min="4367" max="4367" width="10.77734375" style="141" customWidth="1"/>
    <col min="4368" max="4370" width="13.6640625" style="141" customWidth="1"/>
    <col min="4371" max="4371" width="8.109375" style="141" customWidth="1"/>
    <col min="4372" max="4372" width="14.33203125" style="141" customWidth="1"/>
    <col min="4373" max="4374" width="16" style="141" customWidth="1"/>
    <col min="4375" max="4375" width="10.6640625" style="141" customWidth="1"/>
    <col min="4376" max="4376" width="12.33203125" style="141" customWidth="1"/>
    <col min="4377" max="4377" width="14" style="141" customWidth="1"/>
    <col min="4378" max="4378" width="12.44140625" style="141" customWidth="1"/>
    <col min="4379" max="4379" width="13.6640625" style="141" customWidth="1"/>
    <col min="4380" max="4380" width="15.77734375" style="141" customWidth="1"/>
    <col min="4381" max="4386" width="0" style="141" hidden="1" customWidth="1"/>
    <col min="4387" max="4387" width="8.6640625" style="141" customWidth="1"/>
    <col min="4388" max="4389" width="0" style="141" hidden="1" customWidth="1"/>
    <col min="4390" max="4390" width="13.6640625" style="141" customWidth="1"/>
    <col min="4391" max="4393" width="0" style="141" hidden="1" customWidth="1"/>
    <col min="4394" max="4394" width="13.77734375" style="141" customWidth="1"/>
    <col min="4395" max="4396" width="15.77734375" style="141" customWidth="1"/>
    <col min="4397" max="4397" width="9.33203125" style="141" customWidth="1"/>
    <col min="4398" max="4400" width="8.88671875" style="141"/>
    <col min="4401" max="4401" width="10.44140625" style="141" bestFit="1" customWidth="1"/>
    <col min="4402" max="4403" width="8.88671875" style="141"/>
    <col min="4404" max="4404" width="11.6640625" style="141" customWidth="1"/>
    <col min="4405" max="4405" width="13.44140625" style="141" customWidth="1"/>
    <col min="4406" max="4406" width="10.77734375" style="141" customWidth="1"/>
    <col min="4407" max="4407" width="10" style="141" customWidth="1"/>
    <col min="4408" max="4617" width="8.88671875" style="141"/>
    <col min="4618" max="4618" width="23.6640625" style="141" customWidth="1"/>
    <col min="4619" max="4619" width="13.6640625" style="141" customWidth="1"/>
    <col min="4620" max="4620" width="10.33203125" style="141" customWidth="1"/>
    <col min="4621" max="4622" width="13" style="141" customWidth="1"/>
    <col min="4623" max="4623" width="10.77734375" style="141" customWidth="1"/>
    <col min="4624" max="4626" width="13.6640625" style="141" customWidth="1"/>
    <col min="4627" max="4627" width="8.109375" style="141" customWidth="1"/>
    <col min="4628" max="4628" width="14.33203125" style="141" customWidth="1"/>
    <col min="4629" max="4630" width="16" style="141" customWidth="1"/>
    <col min="4631" max="4631" width="10.6640625" style="141" customWidth="1"/>
    <col min="4632" max="4632" width="12.33203125" style="141" customWidth="1"/>
    <col min="4633" max="4633" width="14" style="141" customWidth="1"/>
    <col min="4634" max="4634" width="12.44140625" style="141" customWidth="1"/>
    <col min="4635" max="4635" width="13.6640625" style="141" customWidth="1"/>
    <col min="4636" max="4636" width="15.77734375" style="141" customWidth="1"/>
    <col min="4637" max="4642" width="0" style="141" hidden="1" customWidth="1"/>
    <col min="4643" max="4643" width="8.6640625" style="141" customWidth="1"/>
    <col min="4644" max="4645" width="0" style="141" hidden="1" customWidth="1"/>
    <col min="4646" max="4646" width="13.6640625" style="141" customWidth="1"/>
    <col min="4647" max="4649" width="0" style="141" hidden="1" customWidth="1"/>
    <col min="4650" max="4650" width="13.77734375" style="141" customWidth="1"/>
    <col min="4651" max="4652" width="15.77734375" style="141" customWidth="1"/>
    <col min="4653" max="4653" width="9.33203125" style="141" customWidth="1"/>
    <col min="4654" max="4656" width="8.88671875" style="141"/>
    <col min="4657" max="4657" width="10.44140625" style="141" bestFit="1" customWidth="1"/>
    <col min="4658" max="4659" width="8.88671875" style="141"/>
    <col min="4660" max="4660" width="11.6640625" style="141" customWidth="1"/>
    <col min="4661" max="4661" width="13.44140625" style="141" customWidth="1"/>
    <col min="4662" max="4662" width="10.77734375" style="141" customWidth="1"/>
    <col min="4663" max="4663" width="10" style="141" customWidth="1"/>
    <col min="4664" max="4873" width="8.88671875" style="141"/>
    <col min="4874" max="4874" width="23.6640625" style="141" customWidth="1"/>
    <col min="4875" max="4875" width="13.6640625" style="141" customWidth="1"/>
    <col min="4876" max="4876" width="10.33203125" style="141" customWidth="1"/>
    <col min="4877" max="4878" width="13" style="141" customWidth="1"/>
    <col min="4879" max="4879" width="10.77734375" style="141" customWidth="1"/>
    <col min="4880" max="4882" width="13.6640625" style="141" customWidth="1"/>
    <col min="4883" max="4883" width="8.109375" style="141" customWidth="1"/>
    <col min="4884" max="4884" width="14.33203125" style="141" customWidth="1"/>
    <col min="4885" max="4886" width="16" style="141" customWidth="1"/>
    <col min="4887" max="4887" width="10.6640625" style="141" customWidth="1"/>
    <col min="4888" max="4888" width="12.33203125" style="141" customWidth="1"/>
    <col min="4889" max="4889" width="14" style="141" customWidth="1"/>
    <col min="4890" max="4890" width="12.44140625" style="141" customWidth="1"/>
    <col min="4891" max="4891" width="13.6640625" style="141" customWidth="1"/>
    <col min="4892" max="4892" width="15.77734375" style="141" customWidth="1"/>
    <col min="4893" max="4898" width="0" style="141" hidden="1" customWidth="1"/>
    <col min="4899" max="4899" width="8.6640625" style="141" customWidth="1"/>
    <col min="4900" max="4901" width="0" style="141" hidden="1" customWidth="1"/>
    <col min="4902" max="4902" width="13.6640625" style="141" customWidth="1"/>
    <col min="4903" max="4905" width="0" style="141" hidden="1" customWidth="1"/>
    <col min="4906" max="4906" width="13.77734375" style="141" customWidth="1"/>
    <col min="4907" max="4908" width="15.77734375" style="141" customWidth="1"/>
    <col min="4909" max="4909" width="9.33203125" style="141" customWidth="1"/>
    <col min="4910" max="4912" width="8.88671875" style="141"/>
    <col min="4913" max="4913" width="10.44140625" style="141" bestFit="1" customWidth="1"/>
    <col min="4914" max="4915" width="8.88671875" style="141"/>
    <col min="4916" max="4916" width="11.6640625" style="141" customWidth="1"/>
    <col min="4917" max="4917" width="13.44140625" style="141" customWidth="1"/>
    <col min="4918" max="4918" width="10.77734375" style="141" customWidth="1"/>
    <col min="4919" max="4919" width="10" style="141" customWidth="1"/>
    <col min="4920" max="5129" width="8.88671875" style="141"/>
    <col min="5130" max="5130" width="23.6640625" style="141" customWidth="1"/>
    <col min="5131" max="5131" width="13.6640625" style="141" customWidth="1"/>
    <col min="5132" max="5132" width="10.33203125" style="141" customWidth="1"/>
    <col min="5133" max="5134" width="13" style="141" customWidth="1"/>
    <col min="5135" max="5135" width="10.77734375" style="141" customWidth="1"/>
    <col min="5136" max="5138" width="13.6640625" style="141" customWidth="1"/>
    <col min="5139" max="5139" width="8.109375" style="141" customWidth="1"/>
    <col min="5140" max="5140" width="14.33203125" style="141" customWidth="1"/>
    <col min="5141" max="5142" width="16" style="141" customWidth="1"/>
    <col min="5143" max="5143" width="10.6640625" style="141" customWidth="1"/>
    <col min="5144" max="5144" width="12.33203125" style="141" customWidth="1"/>
    <col min="5145" max="5145" width="14" style="141" customWidth="1"/>
    <col min="5146" max="5146" width="12.44140625" style="141" customWidth="1"/>
    <col min="5147" max="5147" width="13.6640625" style="141" customWidth="1"/>
    <col min="5148" max="5148" width="15.77734375" style="141" customWidth="1"/>
    <col min="5149" max="5154" width="0" style="141" hidden="1" customWidth="1"/>
    <col min="5155" max="5155" width="8.6640625" style="141" customWidth="1"/>
    <col min="5156" max="5157" width="0" style="141" hidden="1" customWidth="1"/>
    <col min="5158" max="5158" width="13.6640625" style="141" customWidth="1"/>
    <col min="5159" max="5161" width="0" style="141" hidden="1" customWidth="1"/>
    <col min="5162" max="5162" width="13.77734375" style="141" customWidth="1"/>
    <col min="5163" max="5164" width="15.77734375" style="141" customWidth="1"/>
    <col min="5165" max="5165" width="9.33203125" style="141" customWidth="1"/>
    <col min="5166" max="5168" width="8.88671875" style="141"/>
    <col min="5169" max="5169" width="10.44140625" style="141" bestFit="1" customWidth="1"/>
    <col min="5170" max="5171" width="8.88671875" style="141"/>
    <col min="5172" max="5172" width="11.6640625" style="141" customWidth="1"/>
    <col min="5173" max="5173" width="13.44140625" style="141" customWidth="1"/>
    <col min="5174" max="5174" width="10.77734375" style="141" customWidth="1"/>
    <col min="5175" max="5175" width="10" style="141" customWidth="1"/>
    <col min="5176" max="5385" width="8.88671875" style="141"/>
    <col min="5386" max="5386" width="23.6640625" style="141" customWidth="1"/>
    <col min="5387" max="5387" width="13.6640625" style="141" customWidth="1"/>
    <col min="5388" max="5388" width="10.33203125" style="141" customWidth="1"/>
    <col min="5389" max="5390" width="13" style="141" customWidth="1"/>
    <col min="5391" max="5391" width="10.77734375" style="141" customWidth="1"/>
    <col min="5392" max="5394" width="13.6640625" style="141" customWidth="1"/>
    <col min="5395" max="5395" width="8.109375" style="141" customWidth="1"/>
    <col min="5396" max="5396" width="14.33203125" style="141" customWidth="1"/>
    <col min="5397" max="5398" width="16" style="141" customWidth="1"/>
    <col min="5399" max="5399" width="10.6640625" style="141" customWidth="1"/>
    <col min="5400" max="5400" width="12.33203125" style="141" customWidth="1"/>
    <col min="5401" max="5401" width="14" style="141" customWidth="1"/>
    <col min="5402" max="5402" width="12.44140625" style="141" customWidth="1"/>
    <col min="5403" max="5403" width="13.6640625" style="141" customWidth="1"/>
    <col min="5404" max="5404" width="15.77734375" style="141" customWidth="1"/>
    <col min="5405" max="5410" width="0" style="141" hidden="1" customWidth="1"/>
    <col min="5411" max="5411" width="8.6640625" style="141" customWidth="1"/>
    <col min="5412" max="5413" width="0" style="141" hidden="1" customWidth="1"/>
    <col min="5414" max="5414" width="13.6640625" style="141" customWidth="1"/>
    <col min="5415" max="5417" width="0" style="141" hidden="1" customWidth="1"/>
    <col min="5418" max="5418" width="13.77734375" style="141" customWidth="1"/>
    <col min="5419" max="5420" width="15.77734375" style="141" customWidth="1"/>
    <col min="5421" max="5421" width="9.33203125" style="141" customWidth="1"/>
    <col min="5422" max="5424" width="8.88671875" style="141"/>
    <col min="5425" max="5425" width="10.44140625" style="141" bestFit="1" customWidth="1"/>
    <col min="5426" max="5427" width="8.88671875" style="141"/>
    <col min="5428" max="5428" width="11.6640625" style="141" customWidth="1"/>
    <col min="5429" max="5429" width="13.44140625" style="141" customWidth="1"/>
    <col min="5430" max="5430" width="10.77734375" style="141" customWidth="1"/>
    <col min="5431" max="5431" width="10" style="141" customWidth="1"/>
    <col min="5432" max="5641" width="8.88671875" style="141"/>
    <col min="5642" max="5642" width="23.6640625" style="141" customWidth="1"/>
    <col min="5643" max="5643" width="13.6640625" style="141" customWidth="1"/>
    <col min="5644" max="5644" width="10.33203125" style="141" customWidth="1"/>
    <col min="5645" max="5646" width="13" style="141" customWidth="1"/>
    <col min="5647" max="5647" width="10.77734375" style="141" customWidth="1"/>
    <col min="5648" max="5650" width="13.6640625" style="141" customWidth="1"/>
    <col min="5651" max="5651" width="8.109375" style="141" customWidth="1"/>
    <col min="5652" max="5652" width="14.33203125" style="141" customWidth="1"/>
    <col min="5653" max="5654" width="16" style="141" customWidth="1"/>
    <col min="5655" max="5655" width="10.6640625" style="141" customWidth="1"/>
    <col min="5656" max="5656" width="12.33203125" style="141" customWidth="1"/>
    <col min="5657" max="5657" width="14" style="141" customWidth="1"/>
    <col min="5658" max="5658" width="12.44140625" style="141" customWidth="1"/>
    <col min="5659" max="5659" width="13.6640625" style="141" customWidth="1"/>
    <col min="5660" max="5660" width="15.77734375" style="141" customWidth="1"/>
    <col min="5661" max="5666" width="0" style="141" hidden="1" customWidth="1"/>
    <col min="5667" max="5667" width="8.6640625" style="141" customWidth="1"/>
    <col min="5668" max="5669" width="0" style="141" hidden="1" customWidth="1"/>
    <col min="5670" max="5670" width="13.6640625" style="141" customWidth="1"/>
    <col min="5671" max="5673" width="0" style="141" hidden="1" customWidth="1"/>
    <col min="5674" max="5674" width="13.77734375" style="141" customWidth="1"/>
    <col min="5675" max="5676" width="15.77734375" style="141" customWidth="1"/>
    <col min="5677" max="5677" width="9.33203125" style="141" customWidth="1"/>
    <col min="5678" max="5680" width="8.88671875" style="141"/>
    <col min="5681" max="5681" width="10.44140625" style="141" bestFit="1" customWidth="1"/>
    <col min="5682" max="5683" width="8.88671875" style="141"/>
    <col min="5684" max="5684" width="11.6640625" style="141" customWidth="1"/>
    <col min="5685" max="5685" width="13.44140625" style="141" customWidth="1"/>
    <col min="5686" max="5686" width="10.77734375" style="141" customWidth="1"/>
    <col min="5687" max="5687" width="10" style="141" customWidth="1"/>
    <col min="5688" max="5897" width="8.88671875" style="141"/>
    <col min="5898" max="5898" width="23.6640625" style="141" customWidth="1"/>
    <col min="5899" max="5899" width="13.6640625" style="141" customWidth="1"/>
    <col min="5900" max="5900" width="10.33203125" style="141" customWidth="1"/>
    <col min="5901" max="5902" width="13" style="141" customWidth="1"/>
    <col min="5903" max="5903" width="10.77734375" style="141" customWidth="1"/>
    <col min="5904" max="5906" width="13.6640625" style="141" customWidth="1"/>
    <col min="5907" max="5907" width="8.109375" style="141" customWidth="1"/>
    <col min="5908" max="5908" width="14.33203125" style="141" customWidth="1"/>
    <col min="5909" max="5910" width="16" style="141" customWidth="1"/>
    <col min="5911" max="5911" width="10.6640625" style="141" customWidth="1"/>
    <col min="5912" max="5912" width="12.33203125" style="141" customWidth="1"/>
    <col min="5913" max="5913" width="14" style="141" customWidth="1"/>
    <col min="5914" max="5914" width="12.44140625" style="141" customWidth="1"/>
    <col min="5915" max="5915" width="13.6640625" style="141" customWidth="1"/>
    <col min="5916" max="5916" width="15.77734375" style="141" customWidth="1"/>
    <col min="5917" max="5922" width="0" style="141" hidden="1" customWidth="1"/>
    <col min="5923" max="5923" width="8.6640625" style="141" customWidth="1"/>
    <col min="5924" max="5925" width="0" style="141" hidden="1" customWidth="1"/>
    <col min="5926" max="5926" width="13.6640625" style="141" customWidth="1"/>
    <col min="5927" max="5929" width="0" style="141" hidden="1" customWidth="1"/>
    <col min="5930" max="5930" width="13.77734375" style="141" customWidth="1"/>
    <col min="5931" max="5932" width="15.77734375" style="141" customWidth="1"/>
    <col min="5933" max="5933" width="9.33203125" style="141" customWidth="1"/>
    <col min="5934" max="5936" width="8.88671875" style="141"/>
    <col min="5937" max="5937" width="10.44140625" style="141" bestFit="1" customWidth="1"/>
    <col min="5938" max="5939" width="8.88671875" style="141"/>
    <col min="5940" max="5940" width="11.6640625" style="141" customWidth="1"/>
    <col min="5941" max="5941" width="13.44140625" style="141" customWidth="1"/>
    <col min="5942" max="5942" width="10.77734375" style="141" customWidth="1"/>
    <col min="5943" max="5943" width="10" style="141" customWidth="1"/>
    <col min="5944" max="6153" width="8.88671875" style="141"/>
    <col min="6154" max="6154" width="23.6640625" style="141" customWidth="1"/>
    <col min="6155" max="6155" width="13.6640625" style="141" customWidth="1"/>
    <col min="6156" max="6156" width="10.33203125" style="141" customWidth="1"/>
    <col min="6157" max="6158" width="13" style="141" customWidth="1"/>
    <col min="6159" max="6159" width="10.77734375" style="141" customWidth="1"/>
    <col min="6160" max="6162" width="13.6640625" style="141" customWidth="1"/>
    <col min="6163" max="6163" width="8.109375" style="141" customWidth="1"/>
    <col min="6164" max="6164" width="14.33203125" style="141" customWidth="1"/>
    <col min="6165" max="6166" width="16" style="141" customWidth="1"/>
    <col min="6167" max="6167" width="10.6640625" style="141" customWidth="1"/>
    <col min="6168" max="6168" width="12.33203125" style="141" customWidth="1"/>
    <col min="6169" max="6169" width="14" style="141" customWidth="1"/>
    <col min="6170" max="6170" width="12.44140625" style="141" customWidth="1"/>
    <col min="6171" max="6171" width="13.6640625" style="141" customWidth="1"/>
    <col min="6172" max="6172" width="15.77734375" style="141" customWidth="1"/>
    <col min="6173" max="6178" width="0" style="141" hidden="1" customWidth="1"/>
    <col min="6179" max="6179" width="8.6640625" style="141" customWidth="1"/>
    <col min="6180" max="6181" width="0" style="141" hidden="1" customWidth="1"/>
    <col min="6182" max="6182" width="13.6640625" style="141" customWidth="1"/>
    <col min="6183" max="6185" width="0" style="141" hidden="1" customWidth="1"/>
    <col min="6186" max="6186" width="13.77734375" style="141" customWidth="1"/>
    <col min="6187" max="6188" width="15.77734375" style="141" customWidth="1"/>
    <col min="6189" max="6189" width="9.33203125" style="141" customWidth="1"/>
    <col min="6190" max="6192" width="8.88671875" style="141"/>
    <col min="6193" max="6193" width="10.44140625" style="141" bestFit="1" customWidth="1"/>
    <col min="6194" max="6195" width="8.88671875" style="141"/>
    <col min="6196" max="6196" width="11.6640625" style="141" customWidth="1"/>
    <col min="6197" max="6197" width="13.44140625" style="141" customWidth="1"/>
    <col min="6198" max="6198" width="10.77734375" style="141" customWidth="1"/>
    <col min="6199" max="6199" width="10" style="141" customWidth="1"/>
    <col min="6200" max="6409" width="8.88671875" style="141"/>
    <col min="6410" max="6410" width="23.6640625" style="141" customWidth="1"/>
    <col min="6411" max="6411" width="13.6640625" style="141" customWidth="1"/>
    <col min="6412" max="6412" width="10.33203125" style="141" customWidth="1"/>
    <col min="6413" max="6414" width="13" style="141" customWidth="1"/>
    <col min="6415" max="6415" width="10.77734375" style="141" customWidth="1"/>
    <col min="6416" max="6418" width="13.6640625" style="141" customWidth="1"/>
    <col min="6419" max="6419" width="8.109375" style="141" customWidth="1"/>
    <col min="6420" max="6420" width="14.33203125" style="141" customWidth="1"/>
    <col min="6421" max="6422" width="16" style="141" customWidth="1"/>
    <col min="6423" max="6423" width="10.6640625" style="141" customWidth="1"/>
    <col min="6424" max="6424" width="12.33203125" style="141" customWidth="1"/>
    <col min="6425" max="6425" width="14" style="141" customWidth="1"/>
    <col min="6426" max="6426" width="12.44140625" style="141" customWidth="1"/>
    <col min="6427" max="6427" width="13.6640625" style="141" customWidth="1"/>
    <col min="6428" max="6428" width="15.77734375" style="141" customWidth="1"/>
    <col min="6429" max="6434" width="0" style="141" hidden="1" customWidth="1"/>
    <col min="6435" max="6435" width="8.6640625" style="141" customWidth="1"/>
    <col min="6436" max="6437" width="0" style="141" hidden="1" customWidth="1"/>
    <col min="6438" max="6438" width="13.6640625" style="141" customWidth="1"/>
    <col min="6439" max="6441" width="0" style="141" hidden="1" customWidth="1"/>
    <col min="6442" max="6442" width="13.77734375" style="141" customWidth="1"/>
    <col min="6443" max="6444" width="15.77734375" style="141" customWidth="1"/>
    <col min="6445" max="6445" width="9.33203125" style="141" customWidth="1"/>
    <col min="6446" max="6448" width="8.88671875" style="141"/>
    <col min="6449" max="6449" width="10.44140625" style="141" bestFit="1" customWidth="1"/>
    <col min="6450" max="6451" width="8.88671875" style="141"/>
    <col min="6452" max="6452" width="11.6640625" style="141" customWidth="1"/>
    <col min="6453" max="6453" width="13.44140625" style="141" customWidth="1"/>
    <col min="6454" max="6454" width="10.77734375" style="141" customWidth="1"/>
    <col min="6455" max="6455" width="10" style="141" customWidth="1"/>
    <col min="6456" max="6665" width="8.88671875" style="141"/>
    <col min="6666" max="6666" width="23.6640625" style="141" customWidth="1"/>
    <col min="6667" max="6667" width="13.6640625" style="141" customWidth="1"/>
    <col min="6668" max="6668" width="10.33203125" style="141" customWidth="1"/>
    <col min="6669" max="6670" width="13" style="141" customWidth="1"/>
    <col min="6671" max="6671" width="10.77734375" style="141" customWidth="1"/>
    <col min="6672" max="6674" width="13.6640625" style="141" customWidth="1"/>
    <col min="6675" max="6675" width="8.109375" style="141" customWidth="1"/>
    <col min="6676" max="6676" width="14.33203125" style="141" customWidth="1"/>
    <col min="6677" max="6678" width="16" style="141" customWidth="1"/>
    <col min="6679" max="6679" width="10.6640625" style="141" customWidth="1"/>
    <col min="6680" max="6680" width="12.33203125" style="141" customWidth="1"/>
    <col min="6681" max="6681" width="14" style="141" customWidth="1"/>
    <col min="6682" max="6682" width="12.44140625" style="141" customWidth="1"/>
    <col min="6683" max="6683" width="13.6640625" style="141" customWidth="1"/>
    <col min="6684" max="6684" width="15.77734375" style="141" customWidth="1"/>
    <col min="6685" max="6690" width="0" style="141" hidden="1" customWidth="1"/>
    <col min="6691" max="6691" width="8.6640625" style="141" customWidth="1"/>
    <col min="6692" max="6693" width="0" style="141" hidden="1" customWidth="1"/>
    <col min="6694" max="6694" width="13.6640625" style="141" customWidth="1"/>
    <col min="6695" max="6697" width="0" style="141" hidden="1" customWidth="1"/>
    <col min="6698" max="6698" width="13.77734375" style="141" customWidth="1"/>
    <col min="6699" max="6700" width="15.77734375" style="141" customWidth="1"/>
    <col min="6701" max="6701" width="9.33203125" style="141" customWidth="1"/>
    <col min="6702" max="6704" width="8.88671875" style="141"/>
    <col min="6705" max="6705" width="10.44140625" style="141" bestFit="1" customWidth="1"/>
    <col min="6706" max="6707" width="8.88671875" style="141"/>
    <col min="6708" max="6708" width="11.6640625" style="141" customWidth="1"/>
    <col min="6709" max="6709" width="13.44140625" style="141" customWidth="1"/>
    <col min="6710" max="6710" width="10.77734375" style="141" customWidth="1"/>
    <col min="6711" max="6711" width="10" style="141" customWidth="1"/>
    <col min="6712" max="6921" width="8.88671875" style="141"/>
    <col min="6922" max="6922" width="23.6640625" style="141" customWidth="1"/>
    <col min="6923" max="6923" width="13.6640625" style="141" customWidth="1"/>
    <col min="6924" max="6924" width="10.33203125" style="141" customWidth="1"/>
    <col min="6925" max="6926" width="13" style="141" customWidth="1"/>
    <col min="6927" max="6927" width="10.77734375" style="141" customWidth="1"/>
    <col min="6928" max="6930" width="13.6640625" style="141" customWidth="1"/>
    <col min="6931" max="6931" width="8.109375" style="141" customWidth="1"/>
    <col min="6932" max="6932" width="14.33203125" style="141" customWidth="1"/>
    <col min="6933" max="6934" width="16" style="141" customWidth="1"/>
    <col min="6935" max="6935" width="10.6640625" style="141" customWidth="1"/>
    <col min="6936" max="6936" width="12.33203125" style="141" customWidth="1"/>
    <col min="6937" max="6937" width="14" style="141" customWidth="1"/>
    <col min="6938" max="6938" width="12.44140625" style="141" customWidth="1"/>
    <col min="6939" max="6939" width="13.6640625" style="141" customWidth="1"/>
    <col min="6940" max="6940" width="15.77734375" style="141" customWidth="1"/>
    <col min="6941" max="6946" width="0" style="141" hidden="1" customWidth="1"/>
    <col min="6947" max="6947" width="8.6640625" style="141" customWidth="1"/>
    <col min="6948" max="6949" width="0" style="141" hidden="1" customWidth="1"/>
    <col min="6950" max="6950" width="13.6640625" style="141" customWidth="1"/>
    <col min="6951" max="6953" width="0" style="141" hidden="1" customWidth="1"/>
    <col min="6954" max="6954" width="13.77734375" style="141" customWidth="1"/>
    <col min="6955" max="6956" width="15.77734375" style="141" customWidth="1"/>
    <col min="6957" max="6957" width="9.33203125" style="141" customWidth="1"/>
    <col min="6958" max="6960" width="8.88671875" style="141"/>
    <col min="6961" max="6961" width="10.44140625" style="141" bestFit="1" customWidth="1"/>
    <col min="6962" max="6963" width="8.88671875" style="141"/>
    <col min="6964" max="6964" width="11.6640625" style="141" customWidth="1"/>
    <col min="6965" max="6965" width="13.44140625" style="141" customWidth="1"/>
    <col min="6966" max="6966" width="10.77734375" style="141" customWidth="1"/>
    <col min="6967" max="6967" width="10" style="141" customWidth="1"/>
    <col min="6968" max="7177" width="8.88671875" style="141"/>
    <col min="7178" max="7178" width="23.6640625" style="141" customWidth="1"/>
    <col min="7179" max="7179" width="13.6640625" style="141" customWidth="1"/>
    <col min="7180" max="7180" width="10.33203125" style="141" customWidth="1"/>
    <col min="7181" max="7182" width="13" style="141" customWidth="1"/>
    <col min="7183" max="7183" width="10.77734375" style="141" customWidth="1"/>
    <col min="7184" max="7186" width="13.6640625" style="141" customWidth="1"/>
    <col min="7187" max="7187" width="8.109375" style="141" customWidth="1"/>
    <col min="7188" max="7188" width="14.33203125" style="141" customWidth="1"/>
    <col min="7189" max="7190" width="16" style="141" customWidth="1"/>
    <col min="7191" max="7191" width="10.6640625" style="141" customWidth="1"/>
    <col min="7192" max="7192" width="12.33203125" style="141" customWidth="1"/>
    <col min="7193" max="7193" width="14" style="141" customWidth="1"/>
    <col min="7194" max="7194" width="12.44140625" style="141" customWidth="1"/>
    <col min="7195" max="7195" width="13.6640625" style="141" customWidth="1"/>
    <col min="7196" max="7196" width="15.77734375" style="141" customWidth="1"/>
    <col min="7197" max="7202" width="0" style="141" hidden="1" customWidth="1"/>
    <col min="7203" max="7203" width="8.6640625" style="141" customWidth="1"/>
    <col min="7204" max="7205" width="0" style="141" hidden="1" customWidth="1"/>
    <col min="7206" max="7206" width="13.6640625" style="141" customWidth="1"/>
    <col min="7207" max="7209" width="0" style="141" hidden="1" customWidth="1"/>
    <col min="7210" max="7210" width="13.77734375" style="141" customWidth="1"/>
    <col min="7211" max="7212" width="15.77734375" style="141" customWidth="1"/>
    <col min="7213" max="7213" width="9.33203125" style="141" customWidth="1"/>
    <col min="7214" max="7216" width="8.88671875" style="141"/>
    <col min="7217" max="7217" width="10.44140625" style="141" bestFit="1" customWidth="1"/>
    <col min="7218" max="7219" width="8.88671875" style="141"/>
    <col min="7220" max="7220" width="11.6640625" style="141" customWidth="1"/>
    <col min="7221" max="7221" width="13.44140625" style="141" customWidth="1"/>
    <col min="7222" max="7222" width="10.77734375" style="141" customWidth="1"/>
    <col min="7223" max="7223" width="10" style="141" customWidth="1"/>
    <col min="7224" max="7433" width="8.88671875" style="141"/>
    <col min="7434" max="7434" width="23.6640625" style="141" customWidth="1"/>
    <col min="7435" max="7435" width="13.6640625" style="141" customWidth="1"/>
    <col min="7436" max="7436" width="10.33203125" style="141" customWidth="1"/>
    <col min="7437" max="7438" width="13" style="141" customWidth="1"/>
    <col min="7439" max="7439" width="10.77734375" style="141" customWidth="1"/>
    <col min="7440" max="7442" width="13.6640625" style="141" customWidth="1"/>
    <col min="7443" max="7443" width="8.109375" style="141" customWidth="1"/>
    <col min="7444" max="7444" width="14.33203125" style="141" customWidth="1"/>
    <col min="7445" max="7446" width="16" style="141" customWidth="1"/>
    <col min="7447" max="7447" width="10.6640625" style="141" customWidth="1"/>
    <col min="7448" max="7448" width="12.33203125" style="141" customWidth="1"/>
    <col min="7449" max="7449" width="14" style="141" customWidth="1"/>
    <col min="7450" max="7450" width="12.44140625" style="141" customWidth="1"/>
    <col min="7451" max="7451" width="13.6640625" style="141" customWidth="1"/>
    <col min="7452" max="7452" width="15.77734375" style="141" customWidth="1"/>
    <col min="7453" max="7458" width="0" style="141" hidden="1" customWidth="1"/>
    <col min="7459" max="7459" width="8.6640625" style="141" customWidth="1"/>
    <col min="7460" max="7461" width="0" style="141" hidden="1" customWidth="1"/>
    <col min="7462" max="7462" width="13.6640625" style="141" customWidth="1"/>
    <col min="7463" max="7465" width="0" style="141" hidden="1" customWidth="1"/>
    <col min="7466" max="7466" width="13.77734375" style="141" customWidth="1"/>
    <col min="7467" max="7468" width="15.77734375" style="141" customWidth="1"/>
    <col min="7469" max="7469" width="9.33203125" style="141" customWidth="1"/>
    <col min="7470" max="7472" width="8.88671875" style="141"/>
    <col min="7473" max="7473" width="10.44140625" style="141" bestFit="1" customWidth="1"/>
    <col min="7474" max="7475" width="8.88671875" style="141"/>
    <col min="7476" max="7476" width="11.6640625" style="141" customWidth="1"/>
    <col min="7477" max="7477" width="13.44140625" style="141" customWidth="1"/>
    <col min="7478" max="7478" width="10.77734375" style="141" customWidth="1"/>
    <col min="7479" max="7479" width="10" style="141" customWidth="1"/>
    <col min="7480" max="7689" width="8.88671875" style="141"/>
    <col min="7690" max="7690" width="23.6640625" style="141" customWidth="1"/>
    <col min="7691" max="7691" width="13.6640625" style="141" customWidth="1"/>
    <col min="7692" max="7692" width="10.33203125" style="141" customWidth="1"/>
    <col min="7693" max="7694" width="13" style="141" customWidth="1"/>
    <col min="7695" max="7695" width="10.77734375" style="141" customWidth="1"/>
    <col min="7696" max="7698" width="13.6640625" style="141" customWidth="1"/>
    <col min="7699" max="7699" width="8.109375" style="141" customWidth="1"/>
    <col min="7700" max="7700" width="14.33203125" style="141" customWidth="1"/>
    <col min="7701" max="7702" width="16" style="141" customWidth="1"/>
    <col min="7703" max="7703" width="10.6640625" style="141" customWidth="1"/>
    <col min="7704" max="7704" width="12.33203125" style="141" customWidth="1"/>
    <col min="7705" max="7705" width="14" style="141" customWidth="1"/>
    <col min="7706" max="7706" width="12.44140625" style="141" customWidth="1"/>
    <col min="7707" max="7707" width="13.6640625" style="141" customWidth="1"/>
    <col min="7708" max="7708" width="15.77734375" style="141" customWidth="1"/>
    <col min="7709" max="7714" width="0" style="141" hidden="1" customWidth="1"/>
    <col min="7715" max="7715" width="8.6640625" style="141" customWidth="1"/>
    <col min="7716" max="7717" width="0" style="141" hidden="1" customWidth="1"/>
    <col min="7718" max="7718" width="13.6640625" style="141" customWidth="1"/>
    <col min="7719" max="7721" width="0" style="141" hidden="1" customWidth="1"/>
    <col min="7722" max="7722" width="13.77734375" style="141" customWidth="1"/>
    <col min="7723" max="7724" width="15.77734375" style="141" customWidth="1"/>
    <col min="7725" max="7725" width="9.33203125" style="141" customWidth="1"/>
    <col min="7726" max="7728" width="8.88671875" style="141"/>
    <col min="7729" max="7729" width="10.44140625" style="141" bestFit="1" customWidth="1"/>
    <col min="7730" max="7731" width="8.88671875" style="141"/>
    <col min="7732" max="7732" width="11.6640625" style="141" customWidth="1"/>
    <col min="7733" max="7733" width="13.44140625" style="141" customWidth="1"/>
    <col min="7734" max="7734" width="10.77734375" style="141" customWidth="1"/>
    <col min="7735" max="7735" width="10" style="141" customWidth="1"/>
    <col min="7736" max="7945" width="8.88671875" style="141"/>
    <col min="7946" max="7946" width="23.6640625" style="141" customWidth="1"/>
    <col min="7947" max="7947" width="13.6640625" style="141" customWidth="1"/>
    <col min="7948" max="7948" width="10.33203125" style="141" customWidth="1"/>
    <col min="7949" max="7950" width="13" style="141" customWidth="1"/>
    <col min="7951" max="7951" width="10.77734375" style="141" customWidth="1"/>
    <col min="7952" max="7954" width="13.6640625" style="141" customWidth="1"/>
    <col min="7955" max="7955" width="8.109375" style="141" customWidth="1"/>
    <col min="7956" max="7956" width="14.33203125" style="141" customWidth="1"/>
    <col min="7957" max="7958" width="16" style="141" customWidth="1"/>
    <col min="7959" max="7959" width="10.6640625" style="141" customWidth="1"/>
    <col min="7960" max="7960" width="12.33203125" style="141" customWidth="1"/>
    <col min="7961" max="7961" width="14" style="141" customWidth="1"/>
    <col min="7962" max="7962" width="12.44140625" style="141" customWidth="1"/>
    <col min="7963" max="7963" width="13.6640625" style="141" customWidth="1"/>
    <col min="7964" max="7964" width="15.77734375" style="141" customWidth="1"/>
    <col min="7965" max="7970" width="0" style="141" hidden="1" customWidth="1"/>
    <col min="7971" max="7971" width="8.6640625" style="141" customWidth="1"/>
    <col min="7972" max="7973" width="0" style="141" hidden="1" customWidth="1"/>
    <col min="7974" max="7974" width="13.6640625" style="141" customWidth="1"/>
    <col min="7975" max="7977" width="0" style="141" hidden="1" customWidth="1"/>
    <col min="7978" max="7978" width="13.77734375" style="141" customWidth="1"/>
    <col min="7979" max="7980" width="15.77734375" style="141" customWidth="1"/>
    <col min="7981" max="7981" width="9.33203125" style="141" customWidth="1"/>
    <col min="7982" max="7984" width="8.88671875" style="141"/>
    <col min="7985" max="7985" width="10.44140625" style="141" bestFit="1" customWidth="1"/>
    <col min="7986" max="7987" width="8.88671875" style="141"/>
    <col min="7988" max="7988" width="11.6640625" style="141" customWidth="1"/>
    <col min="7989" max="7989" width="13.44140625" style="141" customWidth="1"/>
    <col min="7990" max="7990" width="10.77734375" style="141" customWidth="1"/>
    <col min="7991" max="7991" width="10" style="141" customWidth="1"/>
    <col min="7992" max="8201" width="8.88671875" style="141"/>
    <col min="8202" max="8202" width="23.6640625" style="141" customWidth="1"/>
    <col min="8203" max="8203" width="13.6640625" style="141" customWidth="1"/>
    <col min="8204" max="8204" width="10.33203125" style="141" customWidth="1"/>
    <col min="8205" max="8206" width="13" style="141" customWidth="1"/>
    <col min="8207" max="8207" width="10.77734375" style="141" customWidth="1"/>
    <col min="8208" max="8210" width="13.6640625" style="141" customWidth="1"/>
    <col min="8211" max="8211" width="8.109375" style="141" customWidth="1"/>
    <col min="8212" max="8212" width="14.33203125" style="141" customWidth="1"/>
    <col min="8213" max="8214" width="16" style="141" customWidth="1"/>
    <col min="8215" max="8215" width="10.6640625" style="141" customWidth="1"/>
    <col min="8216" max="8216" width="12.33203125" style="141" customWidth="1"/>
    <col min="8217" max="8217" width="14" style="141" customWidth="1"/>
    <col min="8218" max="8218" width="12.44140625" style="141" customWidth="1"/>
    <col min="8219" max="8219" width="13.6640625" style="141" customWidth="1"/>
    <col min="8220" max="8220" width="15.77734375" style="141" customWidth="1"/>
    <col min="8221" max="8226" width="0" style="141" hidden="1" customWidth="1"/>
    <col min="8227" max="8227" width="8.6640625" style="141" customWidth="1"/>
    <col min="8228" max="8229" width="0" style="141" hidden="1" customWidth="1"/>
    <col min="8230" max="8230" width="13.6640625" style="141" customWidth="1"/>
    <col min="8231" max="8233" width="0" style="141" hidden="1" customWidth="1"/>
    <col min="8234" max="8234" width="13.77734375" style="141" customWidth="1"/>
    <col min="8235" max="8236" width="15.77734375" style="141" customWidth="1"/>
    <col min="8237" max="8237" width="9.33203125" style="141" customWidth="1"/>
    <col min="8238" max="8240" width="8.88671875" style="141"/>
    <col min="8241" max="8241" width="10.44140625" style="141" bestFit="1" customWidth="1"/>
    <col min="8242" max="8243" width="8.88671875" style="141"/>
    <col min="8244" max="8244" width="11.6640625" style="141" customWidth="1"/>
    <col min="8245" max="8245" width="13.44140625" style="141" customWidth="1"/>
    <col min="8246" max="8246" width="10.77734375" style="141" customWidth="1"/>
    <col min="8247" max="8247" width="10" style="141" customWidth="1"/>
    <col min="8248" max="8457" width="8.88671875" style="141"/>
    <col min="8458" max="8458" width="23.6640625" style="141" customWidth="1"/>
    <col min="8459" max="8459" width="13.6640625" style="141" customWidth="1"/>
    <col min="8460" max="8460" width="10.33203125" style="141" customWidth="1"/>
    <col min="8461" max="8462" width="13" style="141" customWidth="1"/>
    <col min="8463" max="8463" width="10.77734375" style="141" customWidth="1"/>
    <col min="8464" max="8466" width="13.6640625" style="141" customWidth="1"/>
    <col min="8467" max="8467" width="8.109375" style="141" customWidth="1"/>
    <col min="8468" max="8468" width="14.33203125" style="141" customWidth="1"/>
    <col min="8469" max="8470" width="16" style="141" customWidth="1"/>
    <col min="8471" max="8471" width="10.6640625" style="141" customWidth="1"/>
    <col min="8472" max="8472" width="12.33203125" style="141" customWidth="1"/>
    <col min="8473" max="8473" width="14" style="141" customWidth="1"/>
    <col min="8474" max="8474" width="12.44140625" style="141" customWidth="1"/>
    <col min="8475" max="8475" width="13.6640625" style="141" customWidth="1"/>
    <col min="8476" max="8476" width="15.77734375" style="141" customWidth="1"/>
    <col min="8477" max="8482" width="0" style="141" hidden="1" customWidth="1"/>
    <col min="8483" max="8483" width="8.6640625" style="141" customWidth="1"/>
    <col min="8484" max="8485" width="0" style="141" hidden="1" customWidth="1"/>
    <col min="8486" max="8486" width="13.6640625" style="141" customWidth="1"/>
    <col min="8487" max="8489" width="0" style="141" hidden="1" customWidth="1"/>
    <col min="8490" max="8490" width="13.77734375" style="141" customWidth="1"/>
    <col min="8491" max="8492" width="15.77734375" style="141" customWidth="1"/>
    <col min="8493" max="8493" width="9.33203125" style="141" customWidth="1"/>
    <col min="8494" max="8496" width="8.88671875" style="141"/>
    <col min="8497" max="8497" width="10.44140625" style="141" bestFit="1" customWidth="1"/>
    <col min="8498" max="8499" width="8.88671875" style="141"/>
    <col min="8500" max="8500" width="11.6640625" style="141" customWidth="1"/>
    <col min="8501" max="8501" width="13.44140625" style="141" customWidth="1"/>
    <col min="8502" max="8502" width="10.77734375" style="141" customWidth="1"/>
    <col min="8503" max="8503" width="10" style="141" customWidth="1"/>
    <col min="8504" max="8713" width="8.88671875" style="141"/>
    <col min="8714" max="8714" width="23.6640625" style="141" customWidth="1"/>
    <col min="8715" max="8715" width="13.6640625" style="141" customWidth="1"/>
    <col min="8716" max="8716" width="10.33203125" style="141" customWidth="1"/>
    <col min="8717" max="8718" width="13" style="141" customWidth="1"/>
    <col min="8719" max="8719" width="10.77734375" style="141" customWidth="1"/>
    <col min="8720" max="8722" width="13.6640625" style="141" customWidth="1"/>
    <col min="8723" max="8723" width="8.109375" style="141" customWidth="1"/>
    <col min="8724" max="8724" width="14.33203125" style="141" customWidth="1"/>
    <col min="8725" max="8726" width="16" style="141" customWidth="1"/>
    <col min="8727" max="8727" width="10.6640625" style="141" customWidth="1"/>
    <col min="8728" max="8728" width="12.33203125" style="141" customWidth="1"/>
    <col min="8729" max="8729" width="14" style="141" customWidth="1"/>
    <col min="8730" max="8730" width="12.44140625" style="141" customWidth="1"/>
    <col min="8731" max="8731" width="13.6640625" style="141" customWidth="1"/>
    <col min="8732" max="8732" width="15.77734375" style="141" customWidth="1"/>
    <col min="8733" max="8738" width="0" style="141" hidden="1" customWidth="1"/>
    <col min="8739" max="8739" width="8.6640625" style="141" customWidth="1"/>
    <col min="8740" max="8741" width="0" style="141" hidden="1" customWidth="1"/>
    <col min="8742" max="8742" width="13.6640625" style="141" customWidth="1"/>
    <col min="8743" max="8745" width="0" style="141" hidden="1" customWidth="1"/>
    <col min="8746" max="8746" width="13.77734375" style="141" customWidth="1"/>
    <col min="8747" max="8748" width="15.77734375" style="141" customWidth="1"/>
    <col min="8749" max="8749" width="9.33203125" style="141" customWidth="1"/>
    <col min="8750" max="8752" width="8.88671875" style="141"/>
    <col min="8753" max="8753" width="10.44140625" style="141" bestFit="1" customWidth="1"/>
    <col min="8754" max="8755" width="8.88671875" style="141"/>
    <col min="8756" max="8756" width="11.6640625" style="141" customWidth="1"/>
    <col min="8757" max="8757" width="13.44140625" style="141" customWidth="1"/>
    <col min="8758" max="8758" width="10.77734375" style="141" customWidth="1"/>
    <col min="8759" max="8759" width="10" style="141" customWidth="1"/>
    <col min="8760" max="8969" width="8.88671875" style="141"/>
    <col min="8970" max="8970" width="23.6640625" style="141" customWidth="1"/>
    <col min="8971" max="8971" width="13.6640625" style="141" customWidth="1"/>
    <col min="8972" max="8972" width="10.33203125" style="141" customWidth="1"/>
    <col min="8973" max="8974" width="13" style="141" customWidth="1"/>
    <col min="8975" max="8975" width="10.77734375" style="141" customWidth="1"/>
    <col min="8976" max="8978" width="13.6640625" style="141" customWidth="1"/>
    <col min="8979" max="8979" width="8.109375" style="141" customWidth="1"/>
    <col min="8980" max="8980" width="14.33203125" style="141" customWidth="1"/>
    <col min="8981" max="8982" width="16" style="141" customWidth="1"/>
    <col min="8983" max="8983" width="10.6640625" style="141" customWidth="1"/>
    <col min="8984" max="8984" width="12.33203125" style="141" customWidth="1"/>
    <col min="8985" max="8985" width="14" style="141" customWidth="1"/>
    <col min="8986" max="8986" width="12.44140625" style="141" customWidth="1"/>
    <col min="8987" max="8987" width="13.6640625" style="141" customWidth="1"/>
    <col min="8988" max="8988" width="15.77734375" style="141" customWidth="1"/>
    <col min="8989" max="8994" width="0" style="141" hidden="1" customWidth="1"/>
    <col min="8995" max="8995" width="8.6640625" style="141" customWidth="1"/>
    <col min="8996" max="8997" width="0" style="141" hidden="1" customWidth="1"/>
    <col min="8998" max="8998" width="13.6640625" style="141" customWidth="1"/>
    <col min="8999" max="9001" width="0" style="141" hidden="1" customWidth="1"/>
    <col min="9002" max="9002" width="13.77734375" style="141" customWidth="1"/>
    <col min="9003" max="9004" width="15.77734375" style="141" customWidth="1"/>
    <col min="9005" max="9005" width="9.33203125" style="141" customWidth="1"/>
    <col min="9006" max="9008" width="8.88671875" style="141"/>
    <col min="9009" max="9009" width="10.44140625" style="141" bestFit="1" customWidth="1"/>
    <col min="9010" max="9011" width="8.88671875" style="141"/>
    <col min="9012" max="9012" width="11.6640625" style="141" customWidth="1"/>
    <col min="9013" max="9013" width="13.44140625" style="141" customWidth="1"/>
    <col min="9014" max="9014" width="10.77734375" style="141" customWidth="1"/>
    <col min="9015" max="9015" width="10" style="141" customWidth="1"/>
    <col min="9016" max="9225" width="8.88671875" style="141"/>
    <col min="9226" max="9226" width="23.6640625" style="141" customWidth="1"/>
    <col min="9227" max="9227" width="13.6640625" style="141" customWidth="1"/>
    <col min="9228" max="9228" width="10.33203125" style="141" customWidth="1"/>
    <col min="9229" max="9230" width="13" style="141" customWidth="1"/>
    <col min="9231" max="9231" width="10.77734375" style="141" customWidth="1"/>
    <col min="9232" max="9234" width="13.6640625" style="141" customWidth="1"/>
    <col min="9235" max="9235" width="8.109375" style="141" customWidth="1"/>
    <col min="9236" max="9236" width="14.33203125" style="141" customWidth="1"/>
    <col min="9237" max="9238" width="16" style="141" customWidth="1"/>
    <col min="9239" max="9239" width="10.6640625" style="141" customWidth="1"/>
    <col min="9240" max="9240" width="12.33203125" style="141" customWidth="1"/>
    <col min="9241" max="9241" width="14" style="141" customWidth="1"/>
    <col min="9242" max="9242" width="12.44140625" style="141" customWidth="1"/>
    <col min="9243" max="9243" width="13.6640625" style="141" customWidth="1"/>
    <col min="9244" max="9244" width="15.77734375" style="141" customWidth="1"/>
    <col min="9245" max="9250" width="0" style="141" hidden="1" customWidth="1"/>
    <col min="9251" max="9251" width="8.6640625" style="141" customWidth="1"/>
    <col min="9252" max="9253" width="0" style="141" hidden="1" customWidth="1"/>
    <col min="9254" max="9254" width="13.6640625" style="141" customWidth="1"/>
    <col min="9255" max="9257" width="0" style="141" hidden="1" customWidth="1"/>
    <col min="9258" max="9258" width="13.77734375" style="141" customWidth="1"/>
    <col min="9259" max="9260" width="15.77734375" style="141" customWidth="1"/>
    <col min="9261" max="9261" width="9.33203125" style="141" customWidth="1"/>
    <col min="9262" max="9264" width="8.88671875" style="141"/>
    <col min="9265" max="9265" width="10.44140625" style="141" bestFit="1" customWidth="1"/>
    <col min="9266" max="9267" width="8.88671875" style="141"/>
    <col min="9268" max="9268" width="11.6640625" style="141" customWidth="1"/>
    <col min="9269" max="9269" width="13.44140625" style="141" customWidth="1"/>
    <col min="9270" max="9270" width="10.77734375" style="141" customWidth="1"/>
    <col min="9271" max="9271" width="10" style="141" customWidth="1"/>
    <col min="9272" max="9481" width="8.88671875" style="141"/>
    <col min="9482" max="9482" width="23.6640625" style="141" customWidth="1"/>
    <col min="9483" max="9483" width="13.6640625" style="141" customWidth="1"/>
    <col min="9484" max="9484" width="10.33203125" style="141" customWidth="1"/>
    <col min="9485" max="9486" width="13" style="141" customWidth="1"/>
    <col min="9487" max="9487" width="10.77734375" style="141" customWidth="1"/>
    <col min="9488" max="9490" width="13.6640625" style="141" customWidth="1"/>
    <col min="9491" max="9491" width="8.109375" style="141" customWidth="1"/>
    <col min="9492" max="9492" width="14.33203125" style="141" customWidth="1"/>
    <col min="9493" max="9494" width="16" style="141" customWidth="1"/>
    <col min="9495" max="9495" width="10.6640625" style="141" customWidth="1"/>
    <col min="9496" max="9496" width="12.33203125" style="141" customWidth="1"/>
    <col min="9497" max="9497" width="14" style="141" customWidth="1"/>
    <col min="9498" max="9498" width="12.44140625" style="141" customWidth="1"/>
    <col min="9499" max="9499" width="13.6640625" style="141" customWidth="1"/>
    <col min="9500" max="9500" width="15.77734375" style="141" customWidth="1"/>
    <col min="9501" max="9506" width="0" style="141" hidden="1" customWidth="1"/>
    <col min="9507" max="9507" width="8.6640625" style="141" customWidth="1"/>
    <col min="9508" max="9509" width="0" style="141" hidden="1" customWidth="1"/>
    <col min="9510" max="9510" width="13.6640625" style="141" customWidth="1"/>
    <col min="9511" max="9513" width="0" style="141" hidden="1" customWidth="1"/>
    <col min="9514" max="9514" width="13.77734375" style="141" customWidth="1"/>
    <col min="9515" max="9516" width="15.77734375" style="141" customWidth="1"/>
    <col min="9517" max="9517" width="9.33203125" style="141" customWidth="1"/>
    <col min="9518" max="9520" width="8.88671875" style="141"/>
    <col min="9521" max="9521" width="10.44140625" style="141" bestFit="1" customWidth="1"/>
    <col min="9522" max="9523" width="8.88671875" style="141"/>
    <col min="9524" max="9524" width="11.6640625" style="141" customWidth="1"/>
    <col min="9525" max="9525" width="13.44140625" style="141" customWidth="1"/>
    <col min="9526" max="9526" width="10.77734375" style="141" customWidth="1"/>
    <col min="9527" max="9527" width="10" style="141" customWidth="1"/>
    <col min="9528" max="9737" width="8.88671875" style="141"/>
    <col min="9738" max="9738" width="23.6640625" style="141" customWidth="1"/>
    <col min="9739" max="9739" width="13.6640625" style="141" customWidth="1"/>
    <col min="9740" max="9740" width="10.33203125" style="141" customWidth="1"/>
    <col min="9741" max="9742" width="13" style="141" customWidth="1"/>
    <col min="9743" max="9743" width="10.77734375" style="141" customWidth="1"/>
    <col min="9744" max="9746" width="13.6640625" style="141" customWidth="1"/>
    <col min="9747" max="9747" width="8.109375" style="141" customWidth="1"/>
    <col min="9748" max="9748" width="14.33203125" style="141" customWidth="1"/>
    <col min="9749" max="9750" width="16" style="141" customWidth="1"/>
    <col min="9751" max="9751" width="10.6640625" style="141" customWidth="1"/>
    <col min="9752" max="9752" width="12.33203125" style="141" customWidth="1"/>
    <col min="9753" max="9753" width="14" style="141" customWidth="1"/>
    <col min="9754" max="9754" width="12.44140625" style="141" customWidth="1"/>
    <col min="9755" max="9755" width="13.6640625" style="141" customWidth="1"/>
    <col min="9756" max="9756" width="15.77734375" style="141" customWidth="1"/>
    <col min="9757" max="9762" width="0" style="141" hidden="1" customWidth="1"/>
    <col min="9763" max="9763" width="8.6640625" style="141" customWidth="1"/>
    <col min="9764" max="9765" width="0" style="141" hidden="1" customWidth="1"/>
    <col min="9766" max="9766" width="13.6640625" style="141" customWidth="1"/>
    <col min="9767" max="9769" width="0" style="141" hidden="1" customWidth="1"/>
    <col min="9770" max="9770" width="13.77734375" style="141" customWidth="1"/>
    <col min="9771" max="9772" width="15.77734375" style="141" customWidth="1"/>
    <col min="9773" max="9773" width="9.33203125" style="141" customWidth="1"/>
    <col min="9774" max="9776" width="8.88671875" style="141"/>
    <col min="9777" max="9777" width="10.44140625" style="141" bestFit="1" customWidth="1"/>
    <col min="9778" max="9779" width="8.88671875" style="141"/>
    <col min="9780" max="9780" width="11.6640625" style="141" customWidth="1"/>
    <col min="9781" max="9781" width="13.44140625" style="141" customWidth="1"/>
    <col min="9782" max="9782" width="10.77734375" style="141" customWidth="1"/>
    <col min="9783" max="9783" width="10" style="141" customWidth="1"/>
    <col min="9784" max="9993" width="8.88671875" style="141"/>
    <col min="9994" max="9994" width="23.6640625" style="141" customWidth="1"/>
    <col min="9995" max="9995" width="13.6640625" style="141" customWidth="1"/>
    <col min="9996" max="9996" width="10.33203125" style="141" customWidth="1"/>
    <col min="9997" max="9998" width="13" style="141" customWidth="1"/>
    <col min="9999" max="9999" width="10.77734375" style="141" customWidth="1"/>
    <col min="10000" max="10002" width="13.6640625" style="141" customWidth="1"/>
    <col min="10003" max="10003" width="8.109375" style="141" customWidth="1"/>
    <col min="10004" max="10004" width="14.33203125" style="141" customWidth="1"/>
    <col min="10005" max="10006" width="16" style="141" customWidth="1"/>
    <col min="10007" max="10007" width="10.6640625" style="141" customWidth="1"/>
    <col min="10008" max="10008" width="12.33203125" style="141" customWidth="1"/>
    <col min="10009" max="10009" width="14" style="141" customWidth="1"/>
    <col min="10010" max="10010" width="12.44140625" style="141" customWidth="1"/>
    <col min="10011" max="10011" width="13.6640625" style="141" customWidth="1"/>
    <col min="10012" max="10012" width="15.77734375" style="141" customWidth="1"/>
    <col min="10013" max="10018" width="0" style="141" hidden="1" customWidth="1"/>
    <col min="10019" max="10019" width="8.6640625" style="141" customWidth="1"/>
    <col min="10020" max="10021" width="0" style="141" hidden="1" customWidth="1"/>
    <col min="10022" max="10022" width="13.6640625" style="141" customWidth="1"/>
    <col min="10023" max="10025" width="0" style="141" hidden="1" customWidth="1"/>
    <col min="10026" max="10026" width="13.77734375" style="141" customWidth="1"/>
    <col min="10027" max="10028" width="15.77734375" style="141" customWidth="1"/>
    <col min="10029" max="10029" width="9.33203125" style="141" customWidth="1"/>
    <col min="10030" max="10032" width="8.88671875" style="141"/>
    <col min="10033" max="10033" width="10.44140625" style="141" bestFit="1" customWidth="1"/>
    <col min="10034" max="10035" width="8.88671875" style="141"/>
    <col min="10036" max="10036" width="11.6640625" style="141" customWidth="1"/>
    <col min="10037" max="10037" width="13.44140625" style="141" customWidth="1"/>
    <col min="10038" max="10038" width="10.77734375" style="141" customWidth="1"/>
    <col min="10039" max="10039" width="10" style="141" customWidth="1"/>
    <col min="10040" max="10249" width="8.88671875" style="141"/>
    <col min="10250" max="10250" width="23.6640625" style="141" customWidth="1"/>
    <col min="10251" max="10251" width="13.6640625" style="141" customWidth="1"/>
    <col min="10252" max="10252" width="10.33203125" style="141" customWidth="1"/>
    <col min="10253" max="10254" width="13" style="141" customWidth="1"/>
    <col min="10255" max="10255" width="10.77734375" style="141" customWidth="1"/>
    <col min="10256" max="10258" width="13.6640625" style="141" customWidth="1"/>
    <col min="10259" max="10259" width="8.109375" style="141" customWidth="1"/>
    <col min="10260" max="10260" width="14.33203125" style="141" customWidth="1"/>
    <col min="10261" max="10262" width="16" style="141" customWidth="1"/>
    <col min="10263" max="10263" width="10.6640625" style="141" customWidth="1"/>
    <col min="10264" max="10264" width="12.33203125" style="141" customWidth="1"/>
    <col min="10265" max="10265" width="14" style="141" customWidth="1"/>
    <col min="10266" max="10266" width="12.44140625" style="141" customWidth="1"/>
    <col min="10267" max="10267" width="13.6640625" style="141" customWidth="1"/>
    <col min="10268" max="10268" width="15.77734375" style="141" customWidth="1"/>
    <col min="10269" max="10274" width="0" style="141" hidden="1" customWidth="1"/>
    <col min="10275" max="10275" width="8.6640625" style="141" customWidth="1"/>
    <col min="10276" max="10277" width="0" style="141" hidden="1" customWidth="1"/>
    <col min="10278" max="10278" width="13.6640625" style="141" customWidth="1"/>
    <col min="10279" max="10281" width="0" style="141" hidden="1" customWidth="1"/>
    <col min="10282" max="10282" width="13.77734375" style="141" customWidth="1"/>
    <col min="10283" max="10284" width="15.77734375" style="141" customWidth="1"/>
    <col min="10285" max="10285" width="9.33203125" style="141" customWidth="1"/>
    <col min="10286" max="10288" width="8.88671875" style="141"/>
    <col min="10289" max="10289" width="10.44140625" style="141" bestFit="1" customWidth="1"/>
    <col min="10290" max="10291" width="8.88671875" style="141"/>
    <col min="10292" max="10292" width="11.6640625" style="141" customWidth="1"/>
    <col min="10293" max="10293" width="13.44140625" style="141" customWidth="1"/>
    <col min="10294" max="10294" width="10.77734375" style="141" customWidth="1"/>
    <col min="10295" max="10295" width="10" style="141" customWidth="1"/>
    <col min="10296" max="10505" width="8.88671875" style="141"/>
    <col min="10506" max="10506" width="23.6640625" style="141" customWidth="1"/>
    <col min="10507" max="10507" width="13.6640625" style="141" customWidth="1"/>
    <col min="10508" max="10508" width="10.33203125" style="141" customWidth="1"/>
    <col min="10509" max="10510" width="13" style="141" customWidth="1"/>
    <col min="10511" max="10511" width="10.77734375" style="141" customWidth="1"/>
    <col min="10512" max="10514" width="13.6640625" style="141" customWidth="1"/>
    <col min="10515" max="10515" width="8.109375" style="141" customWidth="1"/>
    <col min="10516" max="10516" width="14.33203125" style="141" customWidth="1"/>
    <col min="10517" max="10518" width="16" style="141" customWidth="1"/>
    <col min="10519" max="10519" width="10.6640625" style="141" customWidth="1"/>
    <col min="10520" max="10520" width="12.33203125" style="141" customWidth="1"/>
    <col min="10521" max="10521" width="14" style="141" customWidth="1"/>
    <col min="10522" max="10522" width="12.44140625" style="141" customWidth="1"/>
    <col min="10523" max="10523" width="13.6640625" style="141" customWidth="1"/>
    <col min="10524" max="10524" width="15.77734375" style="141" customWidth="1"/>
    <col min="10525" max="10530" width="0" style="141" hidden="1" customWidth="1"/>
    <col min="10531" max="10531" width="8.6640625" style="141" customWidth="1"/>
    <col min="10532" max="10533" width="0" style="141" hidden="1" customWidth="1"/>
    <col min="10534" max="10534" width="13.6640625" style="141" customWidth="1"/>
    <col min="10535" max="10537" width="0" style="141" hidden="1" customWidth="1"/>
    <col min="10538" max="10538" width="13.77734375" style="141" customWidth="1"/>
    <col min="10539" max="10540" width="15.77734375" style="141" customWidth="1"/>
    <col min="10541" max="10541" width="9.33203125" style="141" customWidth="1"/>
    <col min="10542" max="10544" width="8.88671875" style="141"/>
    <col min="10545" max="10545" width="10.44140625" style="141" bestFit="1" customWidth="1"/>
    <col min="10546" max="10547" width="8.88671875" style="141"/>
    <col min="10548" max="10548" width="11.6640625" style="141" customWidth="1"/>
    <col min="10549" max="10549" width="13.44140625" style="141" customWidth="1"/>
    <col min="10550" max="10550" width="10.77734375" style="141" customWidth="1"/>
    <col min="10551" max="10551" width="10" style="141" customWidth="1"/>
    <col min="10552" max="10761" width="8.88671875" style="141"/>
    <col min="10762" max="10762" width="23.6640625" style="141" customWidth="1"/>
    <col min="10763" max="10763" width="13.6640625" style="141" customWidth="1"/>
    <col min="10764" max="10764" width="10.33203125" style="141" customWidth="1"/>
    <col min="10765" max="10766" width="13" style="141" customWidth="1"/>
    <col min="10767" max="10767" width="10.77734375" style="141" customWidth="1"/>
    <col min="10768" max="10770" width="13.6640625" style="141" customWidth="1"/>
    <col min="10771" max="10771" width="8.109375" style="141" customWidth="1"/>
    <col min="10772" max="10772" width="14.33203125" style="141" customWidth="1"/>
    <col min="10773" max="10774" width="16" style="141" customWidth="1"/>
    <col min="10775" max="10775" width="10.6640625" style="141" customWidth="1"/>
    <col min="10776" max="10776" width="12.33203125" style="141" customWidth="1"/>
    <col min="10777" max="10777" width="14" style="141" customWidth="1"/>
    <col min="10778" max="10778" width="12.44140625" style="141" customWidth="1"/>
    <col min="10779" max="10779" width="13.6640625" style="141" customWidth="1"/>
    <col min="10780" max="10780" width="15.77734375" style="141" customWidth="1"/>
    <col min="10781" max="10786" width="0" style="141" hidden="1" customWidth="1"/>
    <col min="10787" max="10787" width="8.6640625" style="141" customWidth="1"/>
    <col min="10788" max="10789" width="0" style="141" hidden="1" customWidth="1"/>
    <col min="10790" max="10790" width="13.6640625" style="141" customWidth="1"/>
    <col min="10791" max="10793" width="0" style="141" hidden="1" customWidth="1"/>
    <col min="10794" max="10794" width="13.77734375" style="141" customWidth="1"/>
    <col min="10795" max="10796" width="15.77734375" style="141" customWidth="1"/>
    <col min="10797" max="10797" width="9.33203125" style="141" customWidth="1"/>
    <col min="10798" max="10800" width="8.88671875" style="141"/>
    <col min="10801" max="10801" width="10.44140625" style="141" bestFit="1" customWidth="1"/>
    <col min="10802" max="10803" width="8.88671875" style="141"/>
    <col min="10804" max="10804" width="11.6640625" style="141" customWidth="1"/>
    <col min="10805" max="10805" width="13.44140625" style="141" customWidth="1"/>
    <col min="10806" max="10806" width="10.77734375" style="141" customWidth="1"/>
    <col min="10807" max="10807" width="10" style="141" customWidth="1"/>
    <col min="10808" max="11017" width="8.88671875" style="141"/>
    <col min="11018" max="11018" width="23.6640625" style="141" customWidth="1"/>
    <col min="11019" max="11019" width="13.6640625" style="141" customWidth="1"/>
    <col min="11020" max="11020" width="10.33203125" style="141" customWidth="1"/>
    <col min="11021" max="11022" width="13" style="141" customWidth="1"/>
    <col min="11023" max="11023" width="10.77734375" style="141" customWidth="1"/>
    <col min="11024" max="11026" width="13.6640625" style="141" customWidth="1"/>
    <col min="11027" max="11027" width="8.109375" style="141" customWidth="1"/>
    <col min="11028" max="11028" width="14.33203125" style="141" customWidth="1"/>
    <col min="11029" max="11030" width="16" style="141" customWidth="1"/>
    <col min="11031" max="11031" width="10.6640625" style="141" customWidth="1"/>
    <col min="11032" max="11032" width="12.33203125" style="141" customWidth="1"/>
    <col min="11033" max="11033" width="14" style="141" customWidth="1"/>
    <col min="11034" max="11034" width="12.44140625" style="141" customWidth="1"/>
    <col min="11035" max="11035" width="13.6640625" style="141" customWidth="1"/>
    <col min="11036" max="11036" width="15.77734375" style="141" customWidth="1"/>
    <col min="11037" max="11042" width="0" style="141" hidden="1" customWidth="1"/>
    <col min="11043" max="11043" width="8.6640625" style="141" customWidth="1"/>
    <col min="11044" max="11045" width="0" style="141" hidden="1" customWidth="1"/>
    <col min="11046" max="11046" width="13.6640625" style="141" customWidth="1"/>
    <col min="11047" max="11049" width="0" style="141" hidden="1" customWidth="1"/>
    <col min="11050" max="11050" width="13.77734375" style="141" customWidth="1"/>
    <col min="11051" max="11052" width="15.77734375" style="141" customWidth="1"/>
    <col min="11053" max="11053" width="9.33203125" style="141" customWidth="1"/>
    <col min="11054" max="11056" width="8.88671875" style="141"/>
    <col min="11057" max="11057" width="10.44140625" style="141" bestFit="1" customWidth="1"/>
    <col min="11058" max="11059" width="8.88671875" style="141"/>
    <col min="11060" max="11060" width="11.6640625" style="141" customWidth="1"/>
    <col min="11061" max="11061" width="13.44140625" style="141" customWidth="1"/>
    <col min="11062" max="11062" width="10.77734375" style="141" customWidth="1"/>
    <col min="11063" max="11063" width="10" style="141" customWidth="1"/>
    <col min="11064" max="11273" width="8.88671875" style="141"/>
    <col min="11274" max="11274" width="23.6640625" style="141" customWidth="1"/>
    <col min="11275" max="11275" width="13.6640625" style="141" customWidth="1"/>
    <col min="11276" max="11276" width="10.33203125" style="141" customWidth="1"/>
    <col min="11277" max="11278" width="13" style="141" customWidth="1"/>
    <col min="11279" max="11279" width="10.77734375" style="141" customWidth="1"/>
    <col min="11280" max="11282" width="13.6640625" style="141" customWidth="1"/>
    <col min="11283" max="11283" width="8.109375" style="141" customWidth="1"/>
    <col min="11284" max="11284" width="14.33203125" style="141" customWidth="1"/>
    <col min="11285" max="11286" width="16" style="141" customWidth="1"/>
    <col min="11287" max="11287" width="10.6640625" style="141" customWidth="1"/>
    <col min="11288" max="11288" width="12.33203125" style="141" customWidth="1"/>
    <col min="11289" max="11289" width="14" style="141" customWidth="1"/>
    <col min="11290" max="11290" width="12.44140625" style="141" customWidth="1"/>
    <col min="11291" max="11291" width="13.6640625" style="141" customWidth="1"/>
    <col min="11292" max="11292" width="15.77734375" style="141" customWidth="1"/>
    <col min="11293" max="11298" width="0" style="141" hidden="1" customWidth="1"/>
    <col min="11299" max="11299" width="8.6640625" style="141" customWidth="1"/>
    <col min="11300" max="11301" width="0" style="141" hidden="1" customWidth="1"/>
    <col min="11302" max="11302" width="13.6640625" style="141" customWidth="1"/>
    <col min="11303" max="11305" width="0" style="141" hidden="1" customWidth="1"/>
    <col min="11306" max="11306" width="13.77734375" style="141" customWidth="1"/>
    <col min="11307" max="11308" width="15.77734375" style="141" customWidth="1"/>
    <col min="11309" max="11309" width="9.33203125" style="141" customWidth="1"/>
    <col min="11310" max="11312" width="8.88671875" style="141"/>
    <col min="11313" max="11313" width="10.44140625" style="141" bestFit="1" customWidth="1"/>
    <col min="11314" max="11315" width="8.88671875" style="141"/>
    <col min="11316" max="11316" width="11.6640625" style="141" customWidth="1"/>
    <col min="11317" max="11317" width="13.44140625" style="141" customWidth="1"/>
    <col min="11318" max="11318" width="10.77734375" style="141" customWidth="1"/>
    <col min="11319" max="11319" width="10" style="141" customWidth="1"/>
    <col min="11320" max="11529" width="8.88671875" style="141"/>
    <col min="11530" max="11530" width="23.6640625" style="141" customWidth="1"/>
    <col min="11531" max="11531" width="13.6640625" style="141" customWidth="1"/>
    <col min="11532" max="11532" width="10.33203125" style="141" customWidth="1"/>
    <col min="11533" max="11534" width="13" style="141" customWidth="1"/>
    <col min="11535" max="11535" width="10.77734375" style="141" customWidth="1"/>
    <col min="11536" max="11538" width="13.6640625" style="141" customWidth="1"/>
    <col min="11539" max="11539" width="8.109375" style="141" customWidth="1"/>
    <col min="11540" max="11540" width="14.33203125" style="141" customWidth="1"/>
    <col min="11541" max="11542" width="16" style="141" customWidth="1"/>
    <col min="11543" max="11543" width="10.6640625" style="141" customWidth="1"/>
    <col min="11544" max="11544" width="12.33203125" style="141" customWidth="1"/>
    <col min="11545" max="11545" width="14" style="141" customWidth="1"/>
    <col min="11546" max="11546" width="12.44140625" style="141" customWidth="1"/>
    <col min="11547" max="11547" width="13.6640625" style="141" customWidth="1"/>
    <col min="11548" max="11548" width="15.77734375" style="141" customWidth="1"/>
    <col min="11549" max="11554" width="0" style="141" hidden="1" customWidth="1"/>
    <col min="11555" max="11555" width="8.6640625" style="141" customWidth="1"/>
    <col min="11556" max="11557" width="0" style="141" hidden="1" customWidth="1"/>
    <col min="11558" max="11558" width="13.6640625" style="141" customWidth="1"/>
    <col min="11559" max="11561" width="0" style="141" hidden="1" customWidth="1"/>
    <col min="11562" max="11562" width="13.77734375" style="141" customWidth="1"/>
    <col min="11563" max="11564" width="15.77734375" style="141" customWidth="1"/>
    <col min="11565" max="11565" width="9.33203125" style="141" customWidth="1"/>
    <col min="11566" max="11568" width="8.88671875" style="141"/>
    <col min="11569" max="11569" width="10.44140625" style="141" bestFit="1" customWidth="1"/>
    <col min="11570" max="11571" width="8.88671875" style="141"/>
    <col min="11572" max="11572" width="11.6640625" style="141" customWidth="1"/>
    <col min="11573" max="11573" width="13.44140625" style="141" customWidth="1"/>
    <col min="11574" max="11574" width="10.77734375" style="141" customWidth="1"/>
    <col min="11575" max="11575" width="10" style="141" customWidth="1"/>
    <col min="11576" max="11785" width="8.88671875" style="141"/>
    <col min="11786" max="11786" width="23.6640625" style="141" customWidth="1"/>
    <col min="11787" max="11787" width="13.6640625" style="141" customWidth="1"/>
    <col min="11788" max="11788" width="10.33203125" style="141" customWidth="1"/>
    <col min="11789" max="11790" width="13" style="141" customWidth="1"/>
    <col min="11791" max="11791" width="10.77734375" style="141" customWidth="1"/>
    <col min="11792" max="11794" width="13.6640625" style="141" customWidth="1"/>
    <col min="11795" max="11795" width="8.109375" style="141" customWidth="1"/>
    <col min="11796" max="11796" width="14.33203125" style="141" customWidth="1"/>
    <col min="11797" max="11798" width="16" style="141" customWidth="1"/>
    <col min="11799" max="11799" width="10.6640625" style="141" customWidth="1"/>
    <col min="11800" max="11800" width="12.33203125" style="141" customWidth="1"/>
    <col min="11801" max="11801" width="14" style="141" customWidth="1"/>
    <col min="11802" max="11802" width="12.44140625" style="141" customWidth="1"/>
    <col min="11803" max="11803" width="13.6640625" style="141" customWidth="1"/>
    <col min="11804" max="11804" width="15.77734375" style="141" customWidth="1"/>
    <col min="11805" max="11810" width="0" style="141" hidden="1" customWidth="1"/>
    <col min="11811" max="11811" width="8.6640625" style="141" customWidth="1"/>
    <col min="11812" max="11813" width="0" style="141" hidden="1" customWidth="1"/>
    <col min="11814" max="11814" width="13.6640625" style="141" customWidth="1"/>
    <col min="11815" max="11817" width="0" style="141" hidden="1" customWidth="1"/>
    <col min="11818" max="11818" width="13.77734375" style="141" customWidth="1"/>
    <col min="11819" max="11820" width="15.77734375" style="141" customWidth="1"/>
    <col min="11821" max="11821" width="9.33203125" style="141" customWidth="1"/>
    <col min="11822" max="11824" width="8.88671875" style="141"/>
    <col min="11825" max="11825" width="10.44140625" style="141" bestFit="1" customWidth="1"/>
    <col min="11826" max="11827" width="8.88671875" style="141"/>
    <col min="11828" max="11828" width="11.6640625" style="141" customWidth="1"/>
    <col min="11829" max="11829" width="13.44140625" style="141" customWidth="1"/>
    <col min="11830" max="11830" width="10.77734375" style="141" customWidth="1"/>
    <col min="11831" max="11831" width="10" style="141" customWidth="1"/>
    <col min="11832" max="12041" width="8.88671875" style="141"/>
    <col min="12042" max="12042" width="23.6640625" style="141" customWidth="1"/>
    <col min="12043" max="12043" width="13.6640625" style="141" customWidth="1"/>
    <col min="12044" max="12044" width="10.33203125" style="141" customWidth="1"/>
    <col min="12045" max="12046" width="13" style="141" customWidth="1"/>
    <col min="12047" max="12047" width="10.77734375" style="141" customWidth="1"/>
    <col min="12048" max="12050" width="13.6640625" style="141" customWidth="1"/>
    <col min="12051" max="12051" width="8.109375" style="141" customWidth="1"/>
    <col min="12052" max="12052" width="14.33203125" style="141" customWidth="1"/>
    <col min="12053" max="12054" width="16" style="141" customWidth="1"/>
    <col min="12055" max="12055" width="10.6640625" style="141" customWidth="1"/>
    <col min="12056" max="12056" width="12.33203125" style="141" customWidth="1"/>
    <col min="12057" max="12057" width="14" style="141" customWidth="1"/>
    <col min="12058" max="12058" width="12.44140625" style="141" customWidth="1"/>
    <col min="12059" max="12059" width="13.6640625" style="141" customWidth="1"/>
    <col min="12060" max="12060" width="15.77734375" style="141" customWidth="1"/>
    <col min="12061" max="12066" width="0" style="141" hidden="1" customWidth="1"/>
    <col min="12067" max="12067" width="8.6640625" style="141" customWidth="1"/>
    <col min="12068" max="12069" width="0" style="141" hidden="1" customWidth="1"/>
    <col min="12070" max="12070" width="13.6640625" style="141" customWidth="1"/>
    <col min="12071" max="12073" width="0" style="141" hidden="1" customWidth="1"/>
    <col min="12074" max="12074" width="13.77734375" style="141" customWidth="1"/>
    <col min="12075" max="12076" width="15.77734375" style="141" customWidth="1"/>
    <col min="12077" max="12077" width="9.33203125" style="141" customWidth="1"/>
    <col min="12078" max="12080" width="8.88671875" style="141"/>
    <col min="12081" max="12081" width="10.44140625" style="141" bestFit="1" customWidth="1"/>
    <col min="12082" max="12083" width="8.88671875" style="141"/>
    <col min="12084" max="12084" width="11.6640625" style="141" customWidth="1"/>
    <col min="12085" max="12085" width="13.44140625" style="141" customWidth="1"/>
    <col min="12086" max="12086" width="10.77734375" style="141" customWidth="1"/>
    <col min="12087" max="12087" width="10" style="141" customWidth="1"/>
    <col min="12088" max="12297" width="8.88671875" style="141"/>
    <col min="12298" max="12298" width="23.6640625" style="141" customWidth="1"/>
    <col min="12299" max="12299" width="13.6640625" style="141" customWidth="1"/>
    <col min="12300" max="12300" width="10.33203125" style="141" customWidth="1"/>
    <col min="12301" max="12302" width="13" style="141" customWidth="1"/>
    <col min="12303" max="12303" width="10.77734375" style="141" customWidth="1"/>
    <col min="12304" max="12306" width="13.6640625" style="141" customWidth="1"/>
    <col min="12307" max="12307" width="8.109375" style="141" customWidth="1"/>
    <col min="12308" max="12308" width="14.33203125" style="141" customWidth="1"/>
    <col min="12309" max="12310" width="16" style="141" customWidth="1"/>
    <col min="12311" max="12311" width="10.6640625" style="141" customWidth="1"/>
    <col min="12312" max="12312" width="12.33203125" style="141" customWidth="1"/>
    <col min="12313" max="12313" width="14" style="141" customWidth="1"/>
    <col min="12314" max="12314" width="12.44140625" style="141" customWidth="1"/>
    <col min="12315" max="12315" width="13.6640625" style="141" customWidth="1"/>
    <col min="12316" max="12316" width="15.77734375" style="141" customWidth="1"/>
    <col min="12317" max="12322" width="0" style="141" hidden="1" customWidth="1"/>
    <col min="12323" max="12323" width="8.6640625" style="141" customWidth="1"/>
    <col min="12324" max="12325" width="0" style="141" hidden="1" customWidth="1"/>
    <col min="12326" max="12326" width="13.6640625" style="141" customWidth="1"/>
    <col min="12327" max="12329" width="0" style="141" hidden="1" customWidth="1"/>
    <col min="12330" max="12330" width="13.77734375" style="141" customWidth="1"/>
    <col min="12331" max="12332" width="15.77734375" style="141" customWidth="1"/>
    <col min="12333" max="12333" width="9.33203125" style="141" customWidth="1"/>
    <col min="12334" max="12336" width="8.88671875" style="141"/>
    <col min="12337" max="12337" width="10.44140625" style="141" bestFit="1" customWidth="1"/>
    <col min="12338" max="12339" width="8.88671875" style="141"/>
    <col min="12340" max="12340" width="11.6640625" style="141" customWidth="1"/>
    <col min="12341" max="12341" width="13.44140625" style="141" customWidth="1"/>
    <col min="12342" max="12342" width="10.77734375" style="141" customWidth="1"/>
    <col min="12343" max="12343" width="10" style="141" customWidth="1"/>
    <col min="12344" max="12553" width="8.88671875" style="141"/>
    <col min="12554" max="12554" width="23.6640625" style="141" customWidth="1"/>
    <col min="12555" max="12555" width="13.6640625" style="141" customWidth="1"/>
    <col min="12556" max="12556" width="10.33203125" style="141" customWidth="1"/>
    <col min="12557" max="12558" width="13" style="141" customWidth="1"/>
    <col min="12559" max="12559" width="10.77734375" style="141" customWidth="1"/>
    <col min="12560" max="12562" width="13.6640625" style="141" customWidth="1"/>
    <col min="12563" max="12563" width="8.109375" style="141" customWidth="1"/>
    <col min="12564" max="12564" width="14.33203125" style="141" customWidth="1"/>
    <col min="12565" max="12566" width="16" style="141" customWidth="1"/>
    <col min="12567" max="12567" width="10.6640625" style="141" customWidth="1"/>
    <col min="12568" max="12568" width="12.33203125" style="141" customWidth="1"/>
    <col min="12569" max="12569" width="14" style="141" customWidth="1"/>
    <col min="12570" max="12570" width="12.44140625" style="141" customWidth="1"/>
    <col min="12571" max="12571" width="13.6640625" style="141" customWidth="1"/>
    <col min="12572" max="12572" width="15.77734375" style="141" customWidth="1"/>
    <col min="12573" max="12578" width="0" style="141" hidden="1" customWidth="1"/>
    <col min="12579" max="12579" width="8.6640625" style="141" customWidth="1"/>
    <col min="12580" max="12581" width="0" style="141" hidden="1" customWidth="1"/>
    <col min="12582" max="12582" width="13.6640625" style="141" customWidth="1"/>
    <col min="12583" max="12585" width="0" style="141" hidden="1" customWidth="1"/>
    <col min="12586" max="12586" width="13.77734375" style="141" customWidth="1"/>
    <col min="12587" max="12588" width="15.77734375" style="141" customWidth="1"/>
    <col min="12589" max="12589" width="9.33203125" style="141" customWidth="1"/>
    <col min="12590" max="12592" width="8.88671875" style="141"/>
    <col min="12593" max="12593" width="10.44140625" style="141" bestFit="1" customWidth="1"/>
    <col min="12594" max="12595" width="8.88671875" style="141"/>
    <col min="12596" max="12596" width="11.6640625" style="141" customWidth="1"/>
    <col min="12597" max="12597" width="13.44140625" style="141" customWidth="1"/>
    <col min="12598" max="12598" width="10.77734375" style="141" customWidth="1"/>
    <col min="12599" max="12599" width="10" style="141" customWidth="1"/>
    <col min="12600" max="12809" width="8.88671875" style="141"/>
    <col min="12810" max="12810" width="23.6640625" style="141" customWidth="1"/>
    <col min="12811" max="12811" width="13.6640625" style="141" customWidth="1"/>
    <col min="12812" max="12812" width="10.33203125" style="141" customWidth="1"/>
    <col min="12813" max="12814" width="13" style="141" customWidth="1"/>
    <col min="12815" max="12815" width="10.77734375" style="141" customWidth="1"/>
    <col min="12816" max="12818" width="13.6640625" style="141" customWidth="1"/>
    <col min="12819" max="12819" width="8.109375" style="141" customWidth="1"/>
    <col min="12820" max="12820" width="14.33203125" style="141" customWidth="1"/>
    <col min="12821" max="12822" width="16" style="141" customWidth="1"/>
    <col min="12823" max="12823" width="10.6640625" style="141" customWidth="1"/>
    <col min="12824" max="12824" width="12.33203125" style="141" customWidth="1"/>
    <col min="12825" max="12825" width="14" style="141" customWidth="1"/>
    <col min="12826" max="12826" width="12.44140625" style="141" customWidth="1"/>
    <col min="12827" max="12827" width="13.6640625" style="141" customWidth="1"/>
    <col min="12828" max="12828" width="15.77734375" style="141" customWidth="1"/>
    <col min="12829" max="12834" width="0" style="141" hidden="1" customWidth="1"/>
    <col min="12835" max="12835" width="8.6640625" style="141" customWidth="1"/>
    <col min="12836" max="12837" width="0" style="141" hidden="1" customWidth="1"/>
    <col min="12838" max="12838" width="13.6640625" style="141" customWidth="1"/>
    <col min="12839" max="12841" width="0" style="141" hidden="1" customWidth="1"/>
    <col min="12842" max="12842" width="13.77734375" style="141" customWidth="1"/>
    <col min="12843" max="12844" width="15.77734375" style="141" customWidth="1"/>
    <col min="12845" max="12845" width="9.33203125" style="141" customWidth="1"/>
    <col min="12846" max="12848" width="8.88671875" style="141"/>
    <col min="12849" max="12849" width="10.44140625" style="141" bestFit="1" customWidth="1"/>
    <col min="12850" max="12851" width="8.88671875" style="141"/>
    <col min="12852" max="12852" width="11.6640625" style="141" customWidth="1"/>
    <col min="12853" max="12853" width="13.44140625" style="141" customWidth="1"/>
    <col min="12854" max="12854" width="10.77734375" style="141" customWidth="1"/>
    <col min="12855" max="12855" width="10" style="141" customWidth="1"/>
    <col min="12856" max="13065" width="8.88671875" style="141"/>
    <col min="13066" max="13066" width="23.6640625" style="141" customWidth="1"/>
    <col min="13067" max="13067" width="13.6640625" style="141" customWidth="1"/>
    <col min="13068" max="13068" width="10.33203125" style="141" customWidth="1"/>
    <col min="13069" max="13070" width="13" style="141" customWidth="1"/>
    <col min="13071" max="13071" width="10.77734375" style="141" customWidth="1"/>
    <col min="13072" max="13074" width="13.6640625" style="141" customWidth="1"/>
    <col min="13075" max="13075" width="8.109375" style="141" customWidth="1"/>
    <col min="13076" max="13076" width="14.33203125" style="141" customWidth="1"/>
    <col min="13077" max="13078" width="16" style="141" customWidth="1"/>
    <col min="13079" max="13079" width="10.6640625" style="141" customWidth="1"/>
    <col min="13080" max="13080" width="12.33203125" style="141" customWidth="1"/>
    <col min="13081" max="13081" width="14" style="141" customWidth="1"/>
    <col min="13082" max="13082" width="12.44140625" style="141" customWidth="1"/>
    <col min="13083" max="13083" width="13.6640625" style="141" customWidth="1"/>
    <col min="13084" max="13084" width="15.77734375" style="141" customWidth="1"/>
    <col min="13085" max="13090" width="0" style="141" hidden="1" customWidth="1"/>
    <col min="13091" max="13091" width="8.6640625" style="141" customWidth="1"/>
    <col min="13092" max="13093" width="0" style="141" hidden="1" customWidth="1"/>
    <col min="13094" max="13094" width="13.6640625" style="141" customWidth="1"/>
    <col min="13095" max="13097" width="0" style="141" hidden="1" customWidth="1"/>
    <col min="13098" max="13098" width="13.77734375" style="141" customWidth="1"/>
    <col min="13099" max="13100" width="15.77734375" style="141" customWidth="1"/>
    <col min="13101" max="13101" width="9.33203125" style="141" customWidth="1"/>
    <col min="13102" max="13104" width="8.88671875" style="141"/>
    <col min="13105" max="13105" width="10.44140625" style="141" bestFit="1" customWidth="1"/>
    <col min="13106" max="13107" width="8.88671875" style="141"/>
    <col min="13108" max="13108" width="11.6640625" style="141" customWidth="1"/>
    <col min="13109" max="13109" width="13.44140625" style="141" customWidth="1"/>
    <col min="13110" max="13110" width="10.77734375" style="141" customWidth="1"/>
    <col min="13111" max="13111" width="10" style="141" customWidth="1"/>
    <col min="13112" max="13321" width="8.88671875" style="141"/>
    <col min="13322" max="13322" width="23.6640625" style="141" customWidth="1"/>
    <col min="13323" max="13323" width="13.6640625" style="141" customWidth="1"/>
    <col min="13324" max="13324" width="10.33203125" style="141" customWidth="1"/>
    <col min="13325" max="13326" width="13" style="141" customWidth="1"/>
    <col min="13327" max="13327" width="10.77734375" style="141" customWidth="1"/>
    <col min="13328" max="13330" width="13.6640625" style="141" customWidth="1"/>
    <col min="13331" max="13331" width="8.109375" style="141" customWidth="1"/>
    <col min="13332" max="13332" width="14.33203125" style="141" customWidth="1"/>
    <col min="13333" max="13334" width="16" style="141" customWidth="1"/>
    <col min="13335" max="13335" width="10.6640625" style="141" customWidth="1"/>
    <col min="13336" max="13336" width="12.33203125" style="141" customWidth="1"/>
    <col min="13337" max="13337" width="14" style="141" customWidth="1"/>
    <col min="13338" max="13338" width="12.44140625" style="141" customWidth="1"/>
    <col min="13339" max="13339" width="13.6640625" style="141" customWidth="1"/>
    <col min="13340" max="13340" width="15.77734375" style="141" customWidth="1"/>
    <col min="13341" max="13346" width="0" style="141" hidden="1" customWidth="1"/>
    <col min="13347" max="13347" width="8.6640625" style="141" customWidth="1"/>
    <col min="13348" max="13349" width="0" style="141" hidden="1" customWidth="1"/>
    <col min="13350" max="13350" width="13.6640625" style="141" customWidth="1"/>
    <col min="13351" max="13353" width="0" style="141" hidden="1" customWidth="1"/>
    <col min="13354" max="13354" width="13.77734375" style="141" customWidth="1"/>
    <col min="13355" max="13356" width="15.77734375" style="141" customWidth="1"/>
    <col min="13357" max="13357" width="9.33203125" style="141" customWidth="1"/>
    <col min="13358" max="13360" width="8.88671875" style="141"/>
    <col min="13361" max="13361" width="10.44140625" style="141" bestFit="1" customWidth="1"/>
    <col min="13362" max="13363" width="8.88671875" style="141"/>
    <col min="13364" max="13364" width="11.6640625" style="141" customWidth="1"/>
    <col min="13365" max="13365" width="13.44140625" style="141" customWidth="1"/>
    <col min="13366" max="13366" width="10.77734375" style="141" customWidth="1"/>
    <col min="13367" max="13367" width="10" style="141" customWidth="1"/>
    <col min="13368" max="13577" width="8.88671875" style="141"/>
    <col min="13578" max="13578" width="23.6640625" style="141" customWidth="1"/>
    <col min="13579" max="13579" width="13.6640625" style="141" customWidth="1"/>
    <col min="13580" max="13580" width="10.33203125" style="141" customWidth="1"/>
    <col min="13581" max="13582" width="13" style="141" customWidth="1"/>
    <col min="13583" max="13583" width="10.77734375" style="141" customWidth="1"/>
    <col min="13584" max="13586" width="13.6640625" style="141" customWidth="1"/>
    <col min="13587" max="13587" width="8.109375" style="141" customWidth="1"/>
    <col min="13588" max="13588" width="14.33203125" style="141" customWidth="1"/>
    <col min="13589" max="13590" width="16" style="141" customWidth="1"/>
    <col min="13591" max="13591" width="10.6640625" style="141" customWidth="1"/>
    <col min="13592" max="13592" width="12.33203125" style="141" customWidth="1"/>
    <col min="13593" max="13593" width="14" style="141" customWidth="1"/>
    <col min="13594" max="13594" width="12.44140625" style="141" customWidth="1"/>
    <col min="13595" max="13595" width="13.6640625" style="141" customWidth="1"/>
    <col min="13596" max="13596" width="15.77734375" style="141" customWidth="1"/>
    <col min="13597" max="13602" width="0" style="141" hidden="1" customWidth="1"/>
    <col min="13603" max="13603" width="8.6640625" style="141" customWidth="1"/>
    <col min="13604" max="13605" width="0" style="141" hidden="1" customWidth="1"/>
    <col min="13606" max="13606" width="13.6640625" style="141" customWidth="1"/>
    <col min="13607" max="13609" width="0" style="141" hidden="1" customWidth="1"/>
    <col min="13610" max="13610" width="13.77734375" style="141" customWidth="1"/>
    <col min="13611" max="13612" width="15.77734375" style="141" customWidth="1"/>
    <col min="13613" max="13613" width="9.33203125" style="141" customWidth="1"/>
    <col min="13614" max="13616" width="8.88671875" style="141"/>
    <col min="13617" max="13617" width="10.44140625" style="141" bestFit="1" customWidth="1"/>
    <col min="13618" max="13619" width="8.88671875" style="141"/>
    <col min="13620" max="13620" width="11.6640625" style="141" customWidth="1"/>
    <col min="13621" max="13621" width="13.44140625" style="141" customWidth="1"/>
    <col min="13622" max="13622" width="10.77734375" style="141" customWidth="1"/>
    <col min="13623" max="13623" width="10" style="141" customWidth="1"/>
    <col min="13624" max="13833" width="8.88671875" style="141"/>
    <col min="13834" max="13834" width="23.6640625" style="141" customWidth="1"/>
    <col min="13835" max="13835" width="13.6640625" style="141" customWidth="1"/>
    <col min="13836" max="13836" width="10.33203125" style="141" customWidth="1"/>
    <col min="13837" max="13838" width="13" style="141" customWidth="1"/>
    <col min="13839" max="13839" width="10.77734375" style="141" customWidth="1"/>
    <col min="13840" max="13842" width="13.6640625" style="141" customWidth="1"/>
    <col min="13843" max="13843" width="8.109375" style="141" customWidth="1"/>
    <col min="13844" max="13844" width="14.33203125" style="141" customWidth="1"/>
    <col min="13845" max="13846" width="16" style="141" customWidth="1"/>
    <col min="13847" max="13847" width="10.6640625" style="141" customWidth="1"/>
    <col min="13848" max="13848" width="12.33203125" style="141" customWidth="1"/>
    <col min="13849" max="13849" width="14" style="141" customWidth="1"/>
    <col min="13850" max="13850" width="12.44140625" style="141" customWidth="1"/>
    <col min="13851" max="13851" width="13.6640625" style="141" customWidth="1"/>
    <col min="13852" max="13852" width="15.77734375" style="141" customWidth="1"/>
    <col min="13853" max="13858" width="0" style="141" hidden="1" customWidth="1"/>
    <col min="13859" max="13859" width="8.6640625" style="141" customWidth="1"/>
    <col min="13860" max="13861" width="0" style="141" hidden="1" customWidth="1"/>
    <col min="13862" max="13862" width="13.6640625" style="141" customWidth="1"/>
    <col min="13863" max="13865" width="0" style="141" hidden="1" customWidth="1"/>
    <col min="13866" max="13866" width="13.77734375" style="141" customWidth="1"/>
    <col min="13867" max="13868" width="15.77734375" style="141" customWidth="1"/>
    <col min="13869" max="13869" width="9.33203125" style="141" customWidth="1"/>
    <col min="13870" max="13872" width="8.88671875" style="141"/>
    <col min="13873" max="13873" width="10.44140625" style="141" bestFit="1" customWidth="1"/>
    <col min="13874" max="13875" width="8.88671875" style="141"/>
    <col min="13876" max="13876" width="11.6640625" style="141" customWidth="1"/>
    <col min="13877" max="13877" width="13.44140625" style="141" customWidth="1"/>
    <col min="13878" max="13878" width="10.77734375" style="141" customWidth="1"/>
    <col min="13879" max="13879" width="10" style="141" customWidth="1"/>
    <col min="13880" max="14089" width="8.88671875" style="141"/>
    <col min="14090" max="14090" width="23.6640625" style="141" customWidth="1"/>
    <col min="14091" max="14091" width="13.6640625" style="141" customWidth="1"/>
    <col min="14092" max="14092" width="10.33203125" style="141" customWidth="1"/>
    <col min="14093" max="14094" width="13" style="141" customWidth="1"/>
    <col min="14095" max="14095" width="10.77734375" style="141" customWidth="1"/>
    <col min="14096" max="14098" width="13.6640625" style="141" customWidth="1"/>
    <col min="14099" max="14099" width="8.109375" style="141" customWidth="1"/>
    <col min="14100" max="14100" width="14.33203125" style="141" customWidth="1"/>
    <col min="14101" max="14102" width="16" style="141" customWidth="1"/>
    <col min="14103" max="14103" width="10.6640625" style="141" customWidth="1"/>
    <col min="14104" max="14104" width="12.33203125" style="141" customWidth="1"/>
    <col min="14105" max="14105" width="14" style="141" customWidth="1"/>
    <col min="14106" max="14106" width="12.44140625" style="141" customWidth="1"/>
    <col min="14107" max="14107" width="13.6640625" style="141" customWidth="1"/>
    <col min="14108" max="14108" width="15.77734375" style="141" customWidth="1"/>
    <col min="14109" max="14114" width="0" style="141" hidden="1" customWidth="1"/>
    <col min="14115" max="14115" width="8.6640625" style="141" customWidth="1"/>
    <col min="14116" max="14117" width="0" style="141" hidden="1" customWidth="1"/>
    <col min="14118" max="14118" width="13.6640625" style="141" customWidth="1"/>
    <col min="14119" max="14121" width="0" style="141" hidden="1" customWidth="1"/>
    <col min="14122" max="14122" width="13.77734375" style="141" customWidth="1"/>
    <col min="14123" max="14124" width="15.77734375" style="141" customWidth="1"/>
    <col min="14125" max="14125" width="9.33203125" style="141" customWidth="1"/>
    <col min="14126" max="14128" width="8.88671875" style="141"/>
    <col min="14129" max="14129" width="10.44140625" style="141" bestFit="1" customWidth="1"/>
    <col min="14130" max="14131" width="8.88671875" style="141"/>
    <col min="14132" max="14132" width="11.6640625" style="141" customWidth="1"/>
    <col min="14133" max="14133" width="13.44140625" style="141" customWidth="1"/>
    <col min="14134" max="14134" width="10.77734375" style="141" customWidth="1"/>
    <col min="14135" max="14135" width="10" style="141" customWidth="1"/>
    <col min="14136" max="14345" width="8.88671875" style="141"/>
    <col min="14346" max="14346" width="23.6640625" style="141" customWidth="1"/>
    <col min="14347" max="14347" width="13.6640625" style="141" customWidth="1"/>
    <col min="14348" max="14348" width="10.33203125" style="141" customWidth="1"/>
    <col min="14349" max="14350" width="13" style="141" customWidth="1"/>
    <col min="14351" max="14351" width="10.77734375" style="141" customWidth="1"/>
    <col min="14352" max="14354" width="13.6640625" style="141" customWidth="1"/>
    <col min="14355" max="14355" width="8.109375" style="141" customWidth="1"/>
    <col min="14356" max="14356" width="14.33203125" style="141" customWidth="1"/>
    <col min="14357" max="14358" width="16" style="141" customWidth="1"/>
    <col min="14359" max="14359" width="10.6640625" style="141" customWidth="1"/>
    <col min="14360" max="14360" width="12.33203125" style="141" customWidth="1"/>
    <col min="14361" max="14361" width="14" style="141" customWidth="1"/>
    <col min="14362" max="14362" width="12.44140625" style="141" customWidth="1"/>
    <col min="14363" max="14363" width="13.6640625" style="141" customWidth="1"/>
    <col min="14364" max="14364" width="15.77734375" style="141" customWidth="1"/>
    <col min="14365" max="14370" width="0" style="141" hidden="1" customWidth="1"/>
    <col min="14371" max="14371" width="8.6640625" style="141" customWidth="1"/>
    <col min="14372" max="14373" width="0" style="141" hidden="1" customWidth="1"/>
    <col min="14374" max="14374" width="13.6640625" style="141" customWidth="1"/>
    <col min="14375" max="14377" width="0" style="141" hidden="1" customWidth="1"/>
    <col min="14378" max="14378" width="13.77734375" style="141" customWidth="1"/>
    <col min="14379" max="14380" width="15.77734375" style="141" customWidth="1"/>
    <col min="14381" max="14381" width="9.33203125" style="141" customWidth="1"/>
    <col min="14382" max="14384" width="8.88671875" style="141"/>
    <col min="14385" max="14385" width="10.44140625" style="141" bestFit="1" customWidth="1"/>
    <col min="14386" max="14387" width="8.88671875" style="141"/>
    <col min="14388" max="14388" width="11.6640625" style="141" customWidth="1"/>
    <col min="14389" max="14389" width="13.44140625" style="141" customWidth="1"/>
    <col min="14390" max="14390" width="10.77734375" style="141" customWidth="1"/>
    <col min="14391" max="14391" width="10" style="141" customWidth="1"/>
    <col min="14392" max="14601" width="8.88671875" style="141"/>
    <col min="14602" max="14602" width="23.6640625" style="141" customWidth="1"/>
    <col min="14603" max="14603" width="13.6640625" style="141" customWidth="1"/>
    <col min="14604" max="14604" width="10.33203125" style="141" customWidth="1"/>
    <col min="14605" max="14606" width="13" style="141" customWidth="1"/>
    <col min="14607" max="14607" width="10.77734375" style="141" customWidth="1"/>
    <col min="14608" max="14610" width="13.6640625" style="141" customWidth="1"/>
    <col min="14611" max="14611" width="8.109375" style="141" customWidth="1"/>
    <col min="14612" max="14612" width="14.33203125" style="141" customWidth="1"/>
    <col min="14613" max="14614" width="16" style="141" customWidth="1"/>
    <col min="14615" max="14615" width="10.6640625" style="141" customWidth="1"/>
    <col min="14616" max="14616" width="12.33203125" style="141" customWidth="1"/>
    <col min="14617" max="14617" width="14" style="141" customWidth="1"/>
    <col min="14618" max="14618" width="12.44140625" style="141" customWidth="1"/>
    <col min="14619" max="14619" width="13.6640625" style="141" customWidth="1"/>
    <col min="14620" max="14620" width="15.77734375" style="141" customWidth="1"/>
    <col min="14621" max="14626" width="0" style="141" hidden="1" customWidth="1"/>
    <col min="14627" max="14627" width="8.6640625" style="141" customWidth="1"/>
    <col min="14628" max="14629" width="0" style="141" hidden="1" customWidth="1"/>
    <col min="14630" max="14630" width="13.6640625" style="141" customWidth="1"/>
    <col min="14631" max="14633" width="0" style="141" hidden="1" customWidth="1"/>
    <col min="14634" max="14634" width="13.77734375" style="141" customWidth="1"/>
    <col min="14635" max="14636" width="15.77734375" style="141" customWidth="1"/>
    <col min="14637" max="14637" width="9.33203125" style="141" customWidth="1"/>
    <col min="14638" max="14640" width="8.88671875" style="141"/>
    <col min="14641" max="14641" width="10.44140625" style="141" bestFit="1" customWidth="1"/>
    <col min="14642" max="14643" width="8.88671875" style="141"/>
    <col min="14644" max="14644" width="11.6640625" style="141" customWidth="1"/>
    <col min="14645" max="14645" width="13.44140625" style="141" customWidth="1"/>
    <col min="14646" max="14646" width="10.77734375" style="141" customWidth="1"/>
    <col min="14647" max="14647" width="10" style="141" customWidth="1"/>
    <col min="14648" max="14857" width="8.88671875" style="141"/>
    <col min="14858" max="14858" width="23.6640625" style="141" customWidth="1"/>
    <col min="14859" max="14859" width="13.6640625" style="141" customWidth="1"/>
    <col min="14860" max="14860" width="10.33203125" style="141" customWidth="1"/>
    <col min="14861" max="14862" width="13" style="141" customWidth="1"/>
    <col min="14863" max="14863" width="10.77734375" style="141" customWidth="1"/>
    <col min="14864" max="14866" width="13.6640625" style="141" customWidth="1"/>
    <col min="14867" max="14867" width="8.109375" style="141" customWidth="1"/>
    <col min="14868" max="14868" width="14.33203125" style="141" customWidth="1"/>
    <col min="14869" max="14870" width="16" style="141" customWidth="1"/>
    <col min="14871" max="14871" width="10.6640625" style="141" customWidth="1"/>
    <col min="14872" max="14872" width="12.33203125" style="141" customWidth="1"/>
    <col min="14873" max="14873" width="14" style="141" customWidth="1"/>
    <col min="14874" max="14874" width="12.44140625" style="141" customWidth="1"/>
    <col min="14875" max="14875" width="13.6640625" style="141" customWidth="1"/>
    <col min="14876" max="14876" width="15.77734375" style="141" customWidth="1"/>
    <col min="14877" max="14882" width="0" style="141" hidden="1" customWidth="1"/>
    <col min="14883" max="14883" width="8.6640625" style="141" customWidth="1"/>
    <col min="14884" max="14885" width="0" style="141" hidden="1" customWidth="1"/>
    <col min="14886" max="14886" width="13.6640625" style="141" customWidth="1"/>
    <col min="14887" max="14889" width="0" style="141" hidden="1" customWidth="1"/>
    <col min="14890" max="14890" width="13.77734375" style="141" customWidth="1"/>
    <col min="14891" max="14892" width="15.77734375" style="141" customWidth="1"/>
    <col min="14893" max="14893" width="9.33203125" style="141" customWidth="1"/>
    <col min="14894" max="14896" width="8.88671875" style="141"/>
    <col min="14897" max="14897" width="10.44140625" style="141" bestFit="1" customWidth="1"/>
    <col min="14898" max="14899" width="8.88671875" style="141"/>
    <col min="14900" max="14900" width="11.6640625" style="141" customWidth="1"/>
    <col min="14901" max="14901" width="13.44140625" style="141" customWidth="1"/>
    <col min="14902" max="14902" width="10.77734375" style="141" customWidth="1"/>
    <col min="14903" max="14903" width="10" style="141" customWidth="1"/>
    <col min="14904" max="15113" width="8.88671875" style="141"/>
    <col min="15114" max="15114" width="23.6640625" style="141" customWidth="1"/>
    <col min="15115" max="15115" width="13.6640625" style="141" customWidth="1"/>
    <col min="15116" max="15116" width="10.33203125" style="141" customWidth="1"/>
    <col min="15117" max="15118" width="13" style="141" customWidth="1"/>
    <col min="15119" max="15119" width="10.77734375" style="141" customWidth="1"/>
    <col min="15120" max="15122" width="13.6640625" style="141" customWidth="1"/>
    <col min="15123" max="15123" width="8.109375" style="141" customWidth="1"/>
    <col min="15124" max="15124" width="14.33203125" style="141" customWidth="1"/>
    <col min="15125" max="15126" width="16" style="141" customWidth="1"/>
    <col min="15127" max="15127" width="10.6640625" style="141" customWidth="1"/>
    <col min="15128" max="15128" width="12.33203125" style="141" customWidth="1"/>
    <col min="15129" max="15129" width="14" style="141" customWidth="1"/>
    <col min="15130" max="15130" width="12.44140625" style="141" customWidth="1"/>
    <col min="15131" max="15131" width="13.6640625" style="141" customWidth="1"/>
    <col min="15132" max="15132" width="15.77734375" style="141" customWidth="1"/>
    <col min="15133" max="15138" width="0" style="141" hidden="1" customWidth="1"/>
    <col min="15139" max="15139" width="8.6640625" style="141" customWidth="1"/>
    <col min="15140" max="15141" width="0" style="141" hidden="1" customWidth="1"/>
    <col min="15142" max="15142" width="13.6640625" style="141" customWidth="1"/>
    <col min="15143" max="15145" width="0" style="141" hidden="1" customWidth="1"/>
    <col min="15146" max="15146" width="13.77734375" style="141" customWidth="1"/>
    <col min="15147" max="15148" width="15.77734375" style="141" customWidth="1"/>
    <col min="15149" max="15149" width="9.33203125" style="141" customWidth="1"/>
    <col min="15150" max="15152" width="8.88671875" style="141"/>
    <col min="15153" max="15153" width="10.44140625" style="141" bestFit="1" customWidth="1"/>
    <col min="15154" max="15155" width="8.88671875" style="141"/>
    <col min="15156" max="15156" width="11.6640625" style="141" customWidth="1"/>
    <col min="15157" max="15157" width="13.44140625" style="141" customWidth="1"/>
    <col min="15158" max="15158" width="10.77734375" style="141" customWidth="1"/>
    <col min="15159" max="15159" width="10" style="141" customWidth="1"/>
    <col min="15160" max="15369" width="8.88671875" style="141"/>
    <col min="15370" max="15370" width="23.6640625" style="141" customWidth="1"/>
    <col min="15371" max="15371" width="13.6640625" style="141" customWidth="1"/>
    <col min="15372" max="15372" width="10.33203125" style="141" customWidth="1"/>
    <col min="15373" max="15374" width="13" style="141" customWidth="1"/>
    <col min="15375" max="15375" width="10.77734375" style="141" customWidth="1"/>
    <col min="15376" max="15378" width="13.6640625" style="141" customWidth="1"/>
    <col min="15379" max="15379" width="8.109375" style="141" customWidth="1"/>
    <col min="15380" max="15380" width="14.33203125" style="141" customWidth="1"/>
    <col min="15381" max="15382" width="16" style="141" customWidth="1"/>
    <col min="15383" max="15383" width="10.6640625" style="141" customWidth="1"/>
    <col min="15384" max="15384" width="12.33203125" style="141" customWidth="1"/>
    <col min="15385" max="15385" width="14" style="141" customWidth="1"/>
    <col min="15386" max="15386" width="12.44140625" style="141" customWidth="1"/>
    <col min="15387" max="15387" width="13.6640625" style="141" customWidth="1"/>
    <col min="15388" max="15388" width="15.77734375" style="141" customWidth="1"/>
    <col min="15389" max="15394" width="0" style="141" hidden="1" customWidth="1"/>
    <col min="15395" max="15395" width="8.6640625" style="141" customWidth="1"/>
    <col min="15396" max="15397" width="0" style="141" hidden="1" customWidth="1"/>
    <col min="15398" max="15398" width="13.6640625" style="141" customWidth="1"/>
    <col min="15399" max="15401" width="0" style="141" hidden="1" customWidth="1"/>
    <col min="15402" max="15402" width="13.77734375" style="141" customWidth="1"/>
    <col min="15403" max="15404" width="15.77734375" style="141" customWidth="1"/>
    <col min="15405" max="15405" width="9.33203125" style="141" customWidth="1"/>
    <col min="15406" max="15408" width="8.88671875" style="141"/>
    <col min="15409" max="15409" width="10.44140625" style="141" bestFit="1" customWidth="1"/>
    <col min="15410" max="15411" width="8.88671875" style="141"/>
    <col min="15412" max="15412" width="11.6640625" style="141" customWidth="1"/>
    <col min="15413" max="15413" width="13.44140625" style="141" customWidth="1"/>
    <col min="15414" max="15414" width="10.77734375" style="141" customWidth="1"/>
    <col min="15415" max="15415" width="10" style="141" customWidth="1"/>
    <col min="15416" max="15625" width="8.88671875" style="141"/>
    <col min="15626" max="15626" width="23.6640625" style="141" customWidth="1"/>
    <col min="15627" max="15627" width="13.6640625" style="141" customWidth="1"/>
    <col min="15628" max="15628" width="10.33203125" style="141" customWidth="1"/>
    <col min="15629" max="15630" width="13" style="141" customWidth="1"/>
    <col min="15631" max="15631" width="10.77734375" style="141" customWidth="1"/>
    <col min="15632" max="15634" width="13.6640625" style="141" customWidth="1"/>
    <col min="15635" max="15635" width="8.109375" style="141" customWidth="1"/>
    <col min="15636" max="15636" width="14.33203125" style="141" customWidth="1"/>
    <col min="15637" max="15638" width="16" style="141" customWidth="1"/>
    <col min="15639" max="15639" width="10.6640625" style="141" customWidth="1"/>
    <col min="15640" max="15640" width="12.33203125" style="141" customWidth="1"/>
    <col min="15641" max="15641" width="14" style="141" customWidth="1"/>
    <col min="15642" max="15642" width="12.44140625" style="141" customWidth="1"/>
    <col min="15643" max="15643" width="13.6640625" style="141" customWidth="1"/>
    <col min="15644" max="15644" width="15.77734375" style="141" customWidth="1"/>
    <col min="15645" max="15650" width="0" style="141" hidden="1" customWidth="1"/>
    <col min="15651" max="15651" width="8.6640625" style="141" customWidth="1"/>
    <col min="15652" max="15653" width="0" style="141" hidden="1" customWidth="1"/>
    <col min="15654" max="15654" width="13.6640625" style="141" customWidth="1"/>
    <col min="15655" max="15657" width="0" style="141" hidden="1" customWidth="1"/>
    <col min="15658" max="15658" width="13.77734375" style="141" customWidth="1"/>
    <col min="15659" max="15660" width="15.77734375" style="141" customWidth="1"/>
    <col min="15661" max="15661" width="9.33203125" style="141" customWidth="1"/>
    <col min="15662" max="15664" width="8.88671875" style="141"/>
    <col min="15665" max="15665" width="10.44140625" style="141" bestFit="1" customWidth="1"/>
    <col min="15666" max="15667" width="8.88671875" style="141"/>
    <col min="15668" max="15668" width="11.6640625" style="141" customWidth="1"/>
    <col min="15669" max="15669" width="13.44140625" style="141" customWidth="1"/>
    <col min="15670" max="15670" width="10.77734375" style="141" customWidth="1"/>
    <col min="15671" max="15671" width="10" style="141" customWidth="1"/>
    <col min="15672" max="15881" width="8.88671875" style="141"/>
    <col min="15882" max="15882" width="23.6640625" style="141" customWidth="1"/>
    <col min="15883" max="15883" width="13.6640625" style="141" customWidth="1"/>
    <col min="15884" max="15884" width="10.33203125" style="141" customWidth="1"/>
    <col min="15885" max="15886" width="13" style="141" customWidth="1"/>
    <col min="15887" max="15887" width="10.77734375" style="141" customWidth="1"/>
    <col min="15888" max="15890" width="13.6640625" style="141" customWidth="1"/>
    <col min="15891" max="15891" width="8.109375" style="141" customWidth="1"/>
    <col min="15892" max="15892" width="14.33203125" style="141" customWidth="1"/>
    <col min="15893" max="15894" width="16" style="141" customWidth="1"/>
    <col min="15895" max="15895" width="10.6640625" style="141" customWidth="1"/>
    <col min="15896" max="15896" width="12.33203125" style="141" customWidth="1"/>
    <col min="15897" max="15897" width="14" style="141" customWidth="1"/>
    <col min="15898" max="15898" width="12.44140625" style="141" customWidth="1"/>
    <col min="15899" max="15899" width="13.6640625" style="141" customWidth="1"/>
    <col min="15900" max="15900" width="15.77734375" style="141" customWidth="1"/>
    <col min="15901" max="15906" width="0" style="141" hidden="1" customWidth="1"/>
    <col min="15907" max="15907" width="8.6640625" style="141" customWidth="1"/>
    <col min="15908" max="15909" width="0" style="141" hidden="1" customWidth="1"/>
    <col min="15910" max="15910" width="13.6640625" style="141" customWidth="1"/>
    <col min="15911" max="15913" width="0" style="141" hidden="1" customWidth="1"/>
    <col min="15914" max="15914" width="13.77734375" style="141" customWidth="1"/>
    <col min="15915" max="15916" width="15.77734375" style="141" customWidth="1"/>
    <col min="15917" max="15917" width="9.33203125" style="141" customWidth="1"/>
    <col min="15918" max="15920" width="8.88671875" style="141"/>
    <col min="15921" max="15921" width="10.44140625" style="141" bestFit="1" customWidth="1"/>
    <col min="15922" max="15923" width="8.88671875" style="141"/>
    <col min="15924" max="15924" width="11.6640625" style="141" customWidth="1"/>
    <col min="15925" max="15925" width="13.44140625" style="141" customWidth="1"/>
    <col min="15926" max="15926" width="10.77734375" style="141" customWidth="1"/>
    <col min="15927" max="15927" width="10" style="141" customWidth="1"/>
    <col min="15928" max="16137" width="8.88671875" style="141"/>
    <col min="16138" max="16138" width="23.6640625" style="141" customWidth="1"/>
    <col min="16139" max="16139" width="13.6640625" style="141" customWidth="1"/>
    <col min="16140" max="16140" width="10.33203125" style="141" customWidth="1"/>
    <col min="16141" max="16142" width="13" style="141" customWidth="1"/>
    <col min="16143" max="16143" width="10.77734375" style="141" customWidth="1"/>
    <col min="16144" max="16146" width="13.6640625" style="141" customWidth="1"/>
    <col min="16147" max="16147" width="8.109375" style="141" customWidth="1"/>
    <col min="16148" max="16148" width="14.33203125" style="141" customWidth="1"/>
    <col min="16149" max="16150" width="16" style="141" customWidth="1"/>
    <col min="16151" max="16151" width="10.6640625" style="141" customWidth="1"/>
    <col min="16152" max="16152" width="12.33203125" style="141" customWidth="1"/>
    <col min="16153" max="16153" width="14" style="141" customWidth="1"/>
    <col min="16154" max="16154" width="12.44140625" style="141" customWidth="1"/>
    <col min="16155" max="16155" width="13.6640625" style="141" customWidth="1"/>
    <col min="16156" max="16156" width="15.77734375" style="141" customWidth="1"/>
    <col min="16157" max="16162" width="0" style="141" hidden="1" customWidth="1"/>
    <col min="16163" max="16163" width="8.6640625" style="141" customWidth="1"/>
    <col min="16164" max="16165" width="0" style="141" hidden="1" customWidth="1"/>
    <col min="16166" max="16166" width="13.6640625" style="141" customWidth="1"/>
    <col min="16167" max="16169" width="0" style="141" hidden="1" customWidth="1"/>
    <col min="16170" max="16170" width="13.77734375" style="141" customWidth="1"/>
    <col min="16171" max="16172" width="15.77734375" style="141" customWidth="1"/>
    <col min="16173" max="16173" width="9.33203125" style="141" customWidth="1"/>
    <col min="16174" max="16176" width="8.88671875" style="141"/>
    <col min="16177" max="16177" width="10.44140625" style="141" bestFit="1" customWidth="1"/>
    <col min="16178" max="16179" width="8.88671875" style="141"/>
    <col min="16180" max="16180" width="11.6640625" style="141" customWidth="1"/>
    <col min="16181" max="16181" width="13.44140625" style="141" customWidth="1"/>
    <col min="16182" max="16182" width="10.77734375" style="141" customWidth="1"/>
    <col min="16183" max="16183" width="10" style="141" customWidth="1"/>
    <col min="16184" max="16384" width="8.88671875" style="141"/>
  </cols>
  <sheetData>
    <row r="1" spans="1:87" s="253" customFormat="1" ht="15" thickBot="1">
      <c r="A1" s="2048"/>
      <c r="B1" s="2048"/>
      <c r="L1" s="2049"/>
      <c r="S1" s="2049"/>
      <c r="T1" s="2050"/>
      <c r="V1" s="2050"/>
      <c r="Z1" s="2051"/>
      <c r="AA1" s="2050"/>
      <c r="AC1" s="2050"/>
      <c r="AD1" s="2050"/>
      <c r="AE1" s="2050"/>
      <c r="AF1" s="2050"/>
      <c r="AG1" s="2050"/>
      <c r="AH1" s="2050"/>
      <c r="AI1" s="2050"/>
      <c r="AJ1" s="2050"/>
      <c r="AK1" s="2052"/>
      <c r="AL1" s="2053"/>
      <c r="AM1" s="2053"/>
      <c r="AS1" s="2054"/>
      <c r="AT1" s="2055"/>
      <c r="AU1" s="2056"/>
      <c r="BG1" s="2055"/>
      <c r="BH1" s="2057"/>
      <c r="BI1" s="2057"/>
      <c r="BP1" s="2058"/>
      <c r="BQ1" s="2058"/>
      <c r="BR1" s="2058"/>
      <c r="BS1" s="2058"/>
      <c r="BT1" s="2058"/>
      <c r="BU1" s="2058"/>
      <c r="BV1" s="2058"/>
      <c r="BW1" s="2058"/>
      <c r="BX1" s="2058"/>
      <c r="BY1" s="2058"/>
      <c r="BZ1" s="2058"/>
      <c r="CA1" s="2058"/>
      <c r="CB1" s="2058"/>
      <c r="CC1" s="2058"/>
      <c r="CD1" s="2058"/>
      <c r="CE1" s="2058"/>
      <c r="CF1" s="2058"/>
      <c r="CG1" s="2058"/>
      <c r="CH1" s="2058"/>
      <c r="CI1" s="2058"/>
    </row>
    <row r="2" spans="1:87" s="860" customFormat="1" ht="18.600000000000001" thickBot="1">
      <c r="A2" s="1828" t="s">
        <v>376</v>
      </c>
      <c r="B2" s="1828"/>
      <c r="C2" s="1828"/>
      <c r="D2" s="857"/>
      <c r="E2" s="253"/>
      <c r="F2" s="857"/>
      <c r="G2" s="857"/>
      <c r="H2" s="858"/>
      <c r="I2" s="1829">
        <v>2021</v>
      </c>
      <c r="J2" s="1830"/>
      <c r="K2" s="1830"/>
      <c r="L2" s="1830"/>
      <c r="M2" s="1830"/>
      <c r="N2" s="1830"/>
      <c r="O2" s="1831"/>
      <c r="P2" s="1829">
        <v>2022</v>
      </c>
      <c r="Q2" s="1830"/>
      <c r="R2" s="1830"/>
      <c r="S2" s="1830"/>
      <c r="T2" s="1830"/>
      <c r="U2" s="1830"/>
      <c r="V2" s="1830"/>
      <c r="W2" s="1829">
        <v>2023</v>
      </c>
      <c r="X2" s="1830"/>
      <c r="Y2" s="1830"/>
      <c r="Z2" s="1830"/>
      <c r="AA2" s="1830"/>
      <c r="AB2" s="1830"/>
      <c r="AC2" s="1831"/>
      <c r="AD2" s="1829">
        <v>2024</v>
      </c>
      <c r="AE2" s="1830"/>
      <c r="AF2" s="1830"/>
      <c r="AG2" s="1830"/>
      <c r="AH2" s="1830"/>
      <c r="AI2" s="1830"/>
      <c r="AJ2" s="1831"/>
      <c r="AK2" s="1829" t="s">
        <v>1194</v>
      </c>
      <c r="AL2" s="1830"/>
      <c r="AM2" s="1830"/>
      <c r="AN2" s="1830"/>
      <c r="AO2" s="1830"/>
      <c r="AP2" s="1830"/>
      <c r="AQ2" s="1830"/>
      <c r="AR2" s="1830"/>
      <c r="AS2" s="1830"/>
      <c r="AT2" s="1830"/>
      <c r="AU2" s="1830"/>
      <c r="AV2" s="1830"/>
      <c r="AW2" s="1830"/>
      <c r="AX2" s="1830"/>
      <c r="AY2" s="1830"/>
      <c r="AZ2" s="1830"/>
      <c r="BA2" s="1830"/>
      <c r="BB2" s="1830"/>
      <c r="BC2" s="1830"/>
      <c r="BD2" s="1830"/>
      <c r="BE2" s="1830"/>
      <c r="BF2" s="1830"/>
      <c r="BG2" s="1830"/>
      <c r="BH2" s="1830"/>
      <c r="BI2" s="1830"/>
      <c r="BJ2" s="1830"/>
      <c r="BK2" s="1830"/>
      <c r="BL2" s="1830"/>
      <c r="BM2" s="1830"/>
      <c r="BN2" s="1830"/>
      <c r="BO2" s="1831"/>
      <c r="BP2" s="859"/>
      <c r="BQ2" s="859"/>
      <c r="BR2" s="859"/>
      <c r="BS2" s="859"/>
      <c r="BT2" s="859"/>
      <c r="BU2" s="859"/>
      <c r="BV2" s="859"/>
      <c r="BW2" s="859"/>
      <c r="BX2" s="859"/>
      <c r="BY2" s="859"/>
      <c r="BZ2" s="859"/>
      <c r="CA2" s="859"/>
      <c r="CB2" s="859"/>
      <c r="CC2" s="859"/>
      <c r="CD2" s="859"/>
      <c r="CE2" s="859"/>
      <c r="CF2" s="859"/>
      <c r="CG2" s="859"/>
      <c r="CH2" s="859"/>
      <c r="CI2" s="859"/>
    </row>
    <row r="3" spans="1:87" ht="14.4" customHeight="1">
      <c r="A3" s="1808" t="s">
        <v>72</v>
      </c>
      <c r="B3" s="1808" t="s">
        <v>556</v>
      </c>
      <c r="C3" s="1811" t="s">
        <v>555</v>
      </c>
      <c r="D3" s="1814" t="s">
        <v>353</v>
      </c>
      <c r="E3" s="1808" t="s">
        <v>531</v>
      </c>
      <c r="F3" s="1817" t="s">
        <v>545</v>
      </c>
      <c r="G3" s="1820" t="s">
        <v>552</v>
      </c>
      <c r="H3" s="1823" t="s">
        <v>371</v>
      </c>
      <c r="I3" s="1799" t="s">
        <v>377</v>
      </c>
      <c r="J3" s="1800"/>
      <c r="K3" s="1800"/>
      <c r="L3" s="1801"/>
      <c r="M3" s="1826" t="s">
        <v>565</v>
      </c>
      <c r="N3" s="1827"/>
      <c r="O3" s="1834" t="s">
        <v>763</v>
      </c>
      <c r="P3" s="1799" t="s">
        <v>377</v>
      </c>
      <c r="Q3" s="1800"/>
      <c r="R3" s="1800"/>
      <c r="S3" s="1801"/>
      <c r="T3" s="1826" t="s">
        <v>565</v>
      </c>
      <c r="U3" s="1832"/>
      <c r="V3" s="1837" t="s">
        <v>763</v>
      </c>
      <c r="W3" s="1799" t="s">
        <v>377</v>
      </c>
      <c r="X3" s="1800"/>
      <c r="Y3" s="1800"/>
      <c r="Z3" s="1801"/>
      <c r="AA3" s="1826" t="s">
        <v>565</v>
      </c>
      <c r="AB3" s="1832"/>
      <c r="AC3" s="1834" t="s">
        <v>763</v>
      </c>
      <c r="AD3" s="1799" t="s">
        <v>377</v>
      </c>
      <c r="AE3" s="1800"/>
      <c r="AF3" s="1800"/>
      <c r="AG3" s="1801"/>
      <c r="AH3" s="1826" t="s">
        <v>565</v>
      </c>
      <c r="AI3" s="1832"/>
      <c r="AJ3" s="1834" t="s">
        <v>763</v>
      </c>
      <c r="AK3" s="1805" t="s">
        <v>378</v>
      </c>
      <c r="AL3" s="1806"/>
      <c r="AM3" s="1806"/>
      <c r="AN3" s="1807"/>
      <c r="AO3" s="1826" t="s">
        <v>565</v>
      </c>
      <c r="AP3" s="1832"/>
      <c r="AQ3" s="1837" t="s">
        <v>763</v>
      </c>
      <c r="AR3" s="1867" t="s">
        <v>764</v>
      </c>
      <c r="AS3" s="1800"/>
      <c r="AT3" s="1801"/>
      <c r="AU3" s="1855" t="s">
        <v>568</v>
      </c>
      <c r="AV3" s="1853"/>
      <c r="AW3" s="1853"/>
      <c r="AX3" s="1853"/>
      <c r="AY3" s="1853"/>
      <c r="AZ3" s="1853"/>
      <c r="BA3" s="1853"/>
      <c r="BB3" s="1853"/>
      <c r="BC3" s="1853"/>
      <c r="BD3" s="1853"/>
      <c r="BE3" s="1853"/>
      <c r="BF3" s="1853"/>
      <c r="BG3" s="1853"/>
      <c r="BH3" s="1853"/>
      <c r="BI3" s="1856"/>
      <c r="BJ3" s="1857" t="s">
        <v>372</v>
      </c>
      <c r="BK3" s="1849" t="s">
        <v>373</v>
      </c>
      <c r="BL3" s="1852" t="s">
        <v>765</v>
      </c>
      <c r="BM3" s="1853"/>
      <c r="BN3" s="1853"/>
      <c r="BO3" s="1854"/>
    </row>
    <row r="4" spans="1:87" ht="14.4" customHeight="1">
      <c r="A4" s="1809"/>
      <c r="B4" s="1809"/>
      <c r="C4" s="1812"/>
      <c r="D4" s="1815"/>
      <c r="E4" s="1809"/>
      <c r="F4" s="1818"/>
      <c r="G4" s="1821"/>
      <c r="H4" s="1824"/>
      <c r="I4" s="1802"/>
      <c r="J4" s="1803"/>
      <c r="K4" s="1803"/>
      <c r="L4" s="1804"/>
      <c r="M4" s="1791" t="s">
        <v>566</v>
      </c>
      <c r="N4" s="1791" t="s">
        <v>567</v>
      </c>
      <c r="O4" s="1835"/>
      <c r="P4" s="1802"/>
      <c r="Q4" s="1803"/>
      <c r="R4" s="1803"/>
      <c r="S4" s="1804"/>
      <c r="T4" s="1791" t="s">
        <v>566</v>
      </c>
      <c r="U4" s="1791" t="s">
        <v>567</v>
      </c>
      <c r="V4" s="1838"/>
      <c r="W4" s="1802"/>
      <c r="X4" s="1803"/>
      <c r="Y4" s="1803"/>
      <c r="Z4" s="1804"/>
      <c r="AA4" s="1791" t="s">
        <v>566</v>
      </c>
      <c r="AB4" s="1791" t="s">
        <v>567</v>
      </c>
      <c r="AC4" s="1835"/>
      <c r="AD4" s="1802"/>
      <c r="AE4" s="1803"/>
      <c r="AF4" s="1803"/>
      <c r="AG4" s="1804"/>
      <c r="AH4" s="1791" t="s">
        <v>566</v>
      </c>
      <c r="AI4" s="1791" t="s">
        <v>567</v>
      </c>
      <c r="AJ4" s="1835"/>
      <c r="AK4" s="1802"/>
      <c r="AL4" s="1803"/>
      <c r="AM4" s="1803"/>
      <c r="AN4" s="1804"/>
      <c r="AO4" s="1791" t="s">
        <v>566</v>
      </c>
      <c r="AP4" s="1833" t="s">
        <v>567</v>
      </c>
      <c r="AQ4" s="1838"/>
      <c r="AR4" s="1868"/>
      <c r="AS4" s="1803"/>
      <c r="AT4" s="1804"/>
      <c r="AU4" s="1859" t="s">
        <v>1041</v>
      </c>
      <c r="AV4" s="1860"/>
      <c r="AW4" s="1861"/>
      <c r="AX4" s="1862" t="s">
        <v>1042</v>
      </c>
      <c r="AY4" s="1862"/>
      <c r="AZ4" s="1844" t="s">
        <v>1043</v>
      </c>
      <c r="BA4" s="1845"/>
      <c r="BB4" s="1844" t="s">
        <v>1044</v>
      </c>
      <c r="BC4" s="1845"/>
      <c r="BD4" s="1846" t="s">
        <v>766</v>
      </c>
      <c r="BE4" s="1846" t="s">
        <v>767</v>
      </c>
      <c r="BF4" s="1791" t="s">
        <v>768</v>
      </c>
      <c r="BG4" s="1847" t="s">
        <v>769</v>
      </c>
      <c r="BH4" s="1848"/>
      <c r="BI4" s="1791" t="s">
        <v>770</v>
      </c>
      <c r="BJ4" s="1858"/>
      <c r="BK4" s="1850"/>
      <c r="BL4" s="1865" t="s">
        <v>246</v>
      </c>
      <c r="BM4" s="1840" t="s">
        <v>1045</v>
      </c>
      <c r="BN4" s="1840" t="s">
        <v>1046</v>
      </c>
      <c r="BO4" s="1842" t="s">
        <v>380</v>
      </c>
    </row>
    <row r="5" spans="1:87" ht="15" thickBot="1">
      <c r="A5" s="1810"/>
      <c r="B5" s="1810"/>
      <c r="C5" s="1813"/>
      <c r="D5" s="1816"/>
      <c r="E5" s="1810"/>
      <c r="F5" s="1819"/>
      <c r="G5" s="1822"/>
      <c r="H5" s="1825"/>
      <c r="I5" s="861" t="s">
        <v>569</v>
      </c>
      <c r="J5" s="862" t="s">
        <v>374</v>
      </c>
      <c r="K5" s="862" t="s">
        <v>375</v>
      </c>
      <c r="L5" s="862" t="s">
        <v>246</v>
      </c>
      <c r="M5" s="1792"/>
      <c r="N5" s="1792"/>
      <c r="O5" s="1836"/>
      <c r="P5" s="861" t="s">
        <v>569</v>
      </c>
      <c r="Q5" s="862" t="s">
        <v>374</v>
      </c>
      <c r="R5" s="862"/>
      <c r="S5" s="862" t="s">
        <v>246</v>
      </c>
      <c r="T5" s="1792"/>
      <c r="U5" s="1792"/>
      <c r="V5" s="1839"/>
      <c r="W5" s="861" t="s">
        <v>569</v>
      </c>
      <c r="X5" s="862" t="s">
        <v>374</v>
      </c>
      <c r="Y5" s="862" t="s">
        <v>375</v>
      </c>
      <c r="Z5" s="862" t="s">
        <v>246</v>
      </c>
      <c r="AA5" s="1792"/>
      <c r="AB5" s="1792"/>
      <c r="AC5" s="1836"/>
      <c r="AD5" s="861" t="s">
        <v>569</v>
      </c>
      <c r="AE5" s="862" t="s">
        <v>374</v>
      </c>
      <c r="AF5" s="862" t="s">
        <v>375</v>
      </c>
      <c r="AG5" s="862" t="s">
        <v>246</v>
      </c>
      <c r="AH5" s="1792"/>
      <c r="AI5" s="1792"/>
      <c r="AJ5" s="1836"/>
      <c r="AK5" s="861" t="s">
        <v>569</v>
      </c>
      <c r="AL5" s="862" t="s">
        <v>374</v>
      </c>
      <c r="AM5" s="862" t="s">
        <v>375</v>
      </c>
      <c r="AN5" s="862" t="s">
        <v>246</v>
      </c>
      <c r="AO5" s="1792"/>
      <c r="AP5" s="1822"/>
      <c r="AQ5" s="1839"/>
      <c r="AR5" s="863" t="s">
        <v>569</v>
      </c>
      <c r="AS5" s="862" t="s">
        <v>374</v>
      </c>
      <c r="AT5" s="862" t="s">
        <v>375</v>
      </c>
      <c r="AU5" s="864" t="s">
        <v>569</v>
      </c>
      <c r="AV5" s="864" t="s">
        <v>374</v>
      </c>
      <c r="AW5" s="864" t="s">
        <v>1047</v>
      </c>
      <c r="AX5" s="864" t="s">
        <v>374</v>
      </c>
      <c r="AY5" s="864" t="s">
        <v>1047</v>
      </c>
      <c r="AZ5" s="865" t="s">
        <v>1048</v>
      </c>
      <c r="BA5" s="864" t="s">
        <v>1049</v>
      </c>
      <c r="BB5" s="865" t="s">
        <v>1048</v>
      </c>
      <c r="BC5" s="864" t="s">
        <v>1049</v>
      </c>
      <c r="BD5" s="1792"/>
      <c r="BE5" s="1792"/>
      <c r="BF5" s="1792"/>
      <c r="BG5" s="864" t="s">
        <v>771</v>
      </c>
      <c r="BH5" s="864" t="s">
        <v>772</v>
      </c>
      <c r="BI5" s="1864"/>
      <c r="BJ5" s="1816"/>
      <c r="BK5" s="1851"/>
      <c r="BL5" s="1866"/>
      <c r="BM5" s="1841"/>
      <c r="BN5" s="1841"/>
      <c r="BO5" s="1843"/>
    </row>
    <row r="6" spans="1:87">
      <c r="A6" s="309">
        <v>1</v>
      </c>
      <c r="B6" s="1426" t="s">
        <v>418</v>
      </c>
      <c r="C6" s="1427" t="s">
        <v>856</v>
      </c>
      <c r="D6" s="856" t="s">
        <v>773</v>
      </c>
      <c r="E6" s="308" t="s">
        <v>514</v>
      </c>
      <c r="F6" s="255" t="s">
        <v>546</v>
      </c>
      <c r="G6" s="479" t="s">
        <v>557</v>
      </c>
      <c r="H6" s="923">
        <v>63</v>
      </c>
      <c r="I6" s="912"/>
      <c r="J6" s="913">
        <v>34850.031000000003</v>
      </c>
      <c r="K6" s="913">
        <v>31056.883000000002</v>
      </c>
      <c r="L6" s="146">
        <f t="shared" ref="L6:L97" si="0">SUM(I6:K6)</f>
        <v>65906.914000000004</v>
      </c>
      <c r="M6" s="868"/>
      <c r="N6" s="867"/>
      <c r="O6" s="869"/>
      <c r="P6" s="866"/>
      <c r="Q6" s="913">
        <v>31785.800999999999</v>
      </c>
      <c r="R6" s="913">
        <v>34502.504000000001</v>
      </c>
      <c r="S6" s="146">
        <f t="shared" ref="S6:S97" si="1">SUM(P6:R6)</f>
        <v>66288.304999999993</v>
      </c>
      <c r="T6" s="868"/>
      <c r="U6" s="867"/>
      <c r="V6" s="869"/>
      <c r="W6" s="870"/>
      <c r="X6" s="871">
        <v>25565.966</v>
      </c>
      <c r="Y6" s="871">
        <v>27390.83</v>
      </c>
      <c r="Z6" s="146">
        <f>SUM(W6:Y6)</f>
        <v>52956.796000000002</v>
      </c>
      <c r="AA6" s="868"/>
      <c r="AB6" s="867"/>
      <c r="AC6" s="869"/>
      <c r="AD6" s="870"/>
      <c r="AE6" s="871">
        <v>24829.225999999999</v>
      </c>
      <c r="AF6" s="871">
        <v>27313.201000000001</v>
      </c>
      <c r="AG6" s="146">
        <f>SUM(AD6:AF6)</f>
        <v>52142.426999999996</v>
      </c>
      <c r="AH6" s="868"/>
      <c r="AI6" s="867"/>
      <c r="AJ6" s="869"/>
      <c r="AK6" s="870"/>
      <c r="AL6" s="867">
        <f>AE6+(AE6*$AP$118)</f>
        <v>24854.055226</v>
      </c>
      <c r="AM6" s="867">
        <f>AF6+(AF6*$AP$118)</f>
        <v>27340.514201000002</v>
      </c>
      <c r="AN6" s="146">
        <f t="shared" ref="AN6:AN97" si="2">SUM(AK6:AM6)</f>
        <v>52194.569427000002</v>
      </c>
      <c r="AO6" s="871"/>
      <c r="AP6" s="871"/>
      <c r="AQ6" s="872"/>
      <c r="AR6" s="1430">
        <f>0.00214+$AU$126</f>
        <v>9.2747499999999997E-2</v>
      </c>
      <c r="AS6" s="1430">
        <f>0.00214+$AU$126</f>
        <v>9.2747499999999997E-2</v>
      </c>
      <c r="AT6" s="1430">
        <f>0.00214+$AU$126</f>
        <v>9.2747499999999997E-2</v>
      </c>
      <c r="AU6" s="263"/>
      <c r="AV6" s="282">
        <v>3.6900000000000002E-2</v>
      </c>
      <c r="AW6" s="282">
        <v>2.1000000000000001E-2</v>
      </c>
      <c r="AX6" s="282"/>
      <c r="AY6" s="282"/>
      <c r="AZ6" s="873">
        <f t="shared" ref="AZ6:AZ14" si="3">100%-BA6</f>
        <v>1</v>
      </c>
      <c r="BA6" s="873">
        <v>0</v>
      </c>
      <c r="BB6" s="873">
        <f t="shared" ref="BB6:BB14" si="4">100%-BC6</f>
        <v>1</v>
      </c>
      <c r="BC6" s="873">
        <v>0</v>
      </c>
      <c r="BD6" s="283"/>
      <c r="BE6" s="283"/>
      <c r="BF6" s="283">
        <f>IF(H6&lt;=16,15.46,IF(AND(H6&gt;=17,H6&lt;=20),18.97,IF(AND(H6&gt;=21,H6&lt;=25),23.02,IF(AND(H6&gt;=26,H6&lt;=32),28.69,IF(AND(H6&gt;=33,H6&lt;=40),35.17,IF(AND(H6&gt;=41,H6&lt;=50),43.27,IF(AND(H6&gt;=51,H6&lt;=63),53.8)))))))</f>
        <v>53.8</v>
      </c>
      <c r="BG6" s="282"/>
      <c r="BH6" s="282"/>
      <c r="BI6" s="283"/>
      <c r="BJ6" s="281">
        <v>8.3999999999999995E-3</v>
      </c>
      <c r="BK6" s="307">
        <v>2.0999999999999999E-3</v>
      </c>
      <c r="BL6" s="289">
        <f t="shared" ref="BL6" si="5">(AK6*AR6)+(AL6*AS6)+(AM6*AT6)+(AN6*AU6)+((AL6*AV6)*AZ6)+((AL6*AX6)*BA6)+((AM6*AW6)*BB6)+((AM6*AY6)*BC6)+(BD6*12)+(H6*BE6*12)+(BF6*12)+(AO6*BG6)+(AP6*BH6)+(AQ6*BI6)+(BJ6*AN6)+(BK6*AN6)</f>
        <v>7525.8242429745842</v>
      </c>
      <c r="BM6" s="874">
        <f t="shared" ref="BM6:BM37" si="6">IF(D6="V",BL6-BO6,"-")</f>
        <v>7525.8242429745842</v>
      </c>
      <c r="BN6" s="874" t="str">
        <f t="shared" ref="BN6:BN37" si="7">IF(D6="R",BL6-BO6,"-")</f>
        <v>-</v>
      </c>
      <c r="BO6" s="875"/>
    </row>
    <row r="7" spans="1:87">
      <c r="A7" s="309">
        <v>2</v>
      </c>
      <c r="B7" s="1426" t="s">
        <v>418</v>
      </c>
      <c r="C7" s="1427" t="s">
        <v>680</v>
      </c>
      <c r="D7" s="856" t="s">
        <v>774</v>
      </c>
      <c r="E7" s="308" t="s">
        <v>508</v>
      </c>
      <c r="F7" s="255" t="s">
        <v>546</v>
      </c>
      <c r="G7" s="479" t="s">
        <v>557</v>
      </c>
      <c r="H7" s="923">
        <v>16</v>
      </c>
      <c r="I7" s="912"/>
      <c r="J7" s="913">
        <v>15485.615</v>
      </c>
      <c r="K7" s="913">
        <v>17112.748</v>
      </c>
      <c r="L7" s="146">
        <f t="shared" si="0"/>
        <v>32598.362999999998</v>
      </c>
      <c r="M7" s="877"/>
      <c r="N7" s="871"/>
      <c r="O7" s="878"/>
      <c r="P7" s="866"/>
      <c r="Q7" s="913">
        <v>7687.8410000000003</v>
      </c>
      <c r="R7" s="913">
        <v>9733.2209999999995</v>
      </c>
      <c r="S7" s="146">
        <f t="shared" si="1"/>
        <v>17421.061999999998</v>
      </c>
      <c r="T7" s="877"/>
      <c r="U7" s="871"/>
      <c r="V7" s="878"/>
      <c r="W7" s="866"/>
      <c r="X7" s="871">
        <v>9076.2379999999994</v>
      </c>
      <c r="Y7" s="871">
        <v>12210.491</v>
      </c>
      <c r="Z7" s="259">
        <f t="shared" ref="Z7:Z95" si="8">SUM(W7:Y7)</f>
        <v>21286.728999999999</v>
      </c>
      <c r="AA7" s="877"/>
      <c r="AB7" s="871"/>
      <c r="AC7" s="878"/>
      <c r="AD7" s="866"/>
      <c r="AE7" s="871">
        <v>8972.5370000000003</v>
      </c>
      <c r="AF7" s="871">
        <v>11867.66</v>
      </c>
      <c r="AG7" s="259">
        <f t="shared" ref="AG7:AG41" si="9">SUM(AD7:AF7)</f>
        <v>20840.197</v>
      </c>
      <c r="AH7" s="877"/>
      <c r="AI7" s="871"/>
      <c r="AJ7" s="878"/>
      <c r="AK7" s="866"/>
      <c r="AL7" s="867">
        <f t="shared" ref="AL7:AM9" si="10">AE7+(AE7*$AP$119)</f>
        <v>8990.4820739999996</v>
      </c>
      <c r="AM7" s="867">
        <f t="shared" si="10"/>
        <v>11891.39532</v>
      </c>
      <c r="AN7" s="146">
        <f t="shared" si="2"/>
        <v>20881.877393999999</v>
      </c>
      <c r="AO7" s="871"/>
      <c r="AP7" s="871"/>
      <c r="AQ7" s="879"/>
      <c r="AR7" s="1430">
        <f>0.00214+$AU$126</f>
        <v>9.2747499999999997E-2</v>
      </c>
      <c r="AS7" s="1430">
        <f>0.00214+$AU$126</f>
        <v>9.2747499999999997E-2</v>
      </c>
      <c r="AT7" s="1430">
        <f>0.00214+$AU$126</f>
        <v>9.2747499999999997E-2</v>
      </c>
      <c r="AU7" s="263"/>
      <c r="AV7" s="282">
        <v>3.6900000000000002E-2</v>
      </c>
      <c r="AW7" s="282">
        <v>2.1000000000000001E-2</v>
      </c>
      <c r="AX7" s="282"/>
      <c r="AY7" s="282"/>
      <c r="AZ7" s="873">
        <f t="shared" ref="AZ7:AZ9" si="11">100%-BA7</f>
        <v>1</v>
      </c>
      <c r="BA7" s="873">
        <v>0</v>
      </c>
      <c r="BB7" s="873">
        <f t="shared" ref="BB7:BB9" si="12">100%-BC7</f>
        <v>1</v>
      </c>
      <c r="BC7" s="873">
        <v>0</v>
      </c>
      <c r="BD7" s="283"/>
      <c r="BE7" s="283"/>
      <c r="BF7" s="283">
        <f>IF(H7&lt;=16,15.46,IF(AND(H7&gt;=17,H7&lt;=20),18.97,IF(AND(H7&gt;=21,H7&lt;=25),23.02,IF(AND(H7&gt;=26,H7&lt;=32),28.69,IF(AND(H7&gt;=33,H7&lt;=40),35.17,IF(AND(H7&gt;=41,H7&lt;=50),43.27,IF(AND(H7&gt;=51,H7&lt;=63),53.8)))))))</f>
        <v>15.46</v>
      </c>
      <c r="BG7" s="282"/>
      <c r="BH7" s="282"/>
      <c r="BI7" s="283"/>
      <c r="BJ7" s="281">
        <v>8.3999999999999995E-3</v>
      </c>
      <c r="BK7" s="307">
        <v>2.0999999999999999E-3</v>
      </c>
      <c r="BL7" s="289">
        <f t="shared" ref="BL7" si="13">(AK7*AR7)+(AL7*AS7)+(AM7*AT7)+(AN7*AU7)+((AL7*AV7)*AZ7)+((AL7*AX7)*BA7)+((AM7*AW7)*BB7)+((AM7*AY7)*BC7)+(BD7*12)+(H7*BE7*12)+(BF7*12)+(AO7*BG7)+(AP7*BH7)+(AQ7*BI7)+(BJ7*AN7)+(BK7*AN7)</f>
        <v>2922.9897264876149</v>
      </c>
      <c r="BM7" s="874" t="str">
        <f t="shared" si="6"/>
        <v>-</v>
      </c>
      <c r="BN7" s="874">
        <f t="shared" si="7"/>
        <v>2844.0690038724492</v>
      </c>
      <c r="BO7" s="875">
        <f>BL7*'3. Üldiseloomustus'!H79</f>
        <v>78.920722615165602</v>
      </c>
    </row>
    <row r="8" spans="1:87">
      <c r="A8" s="309">
        <v>3</v>
      </c>
      <c r="B8" s="1426" t="s">
        <v>418</v>
      </c>
      <c r="C8" s="1427" t="s">
        <v>857</v>
      </c>
      <c r="D8" s="856" t="s">
        <v>774</v>
      </c>
      <c r="E8" s="308" t="s">
        <v>511</v>
      </c>
      <c r="F8" s="255" t="s">
        <v>546</v>
      </c>
      <c r="G8" s="479" t="s">
        <v>557</v>
      </c>
      <c r="H8" s="923">
        <v>16</v>
      </c>
      <c r="I8" s="912"/>
      <c r="J8" s="913">
        <v>6125.7910000000002</v>
      </c>
      <c r="K8" s="913">
        <v>5524.4430000000002</v>
      </c>
      <c r="L8" s="146">
        <f t="shared" si="0"/>
        <v>11650.234</v>
      </c>
      <c r="M8" s="877"/>
      <c r="N8" s="871"/>
      <c r="O8" s="878"/>
      <c r="P8" s="866"/>
      <c r="Q8" s="913">
        <v>6212.41</v>
      </c>
      <c r="R8" s="913">
        <v>6844.9359999999997</v>
      </c>
      <c r="S8" s="146">
        <f t="shared" si="1"/>
        <v>13057.346</v>
      </c>
      <c r="T8" s="877"/>
      <c r="U8" s="871"/>
      <c r="V8" s="878"/>
      <c r="W8" s="866"/>
      <c r="X8" s="871">
        <v>4823.2430000000004</v>
      </c>
      <c r="Y8" s="871">
        <v>5750.6629999999996</v>
      </c>
      <c r="Z8" s="259">
        <f t="shared" si="8"/>
        <v>10573.905999999999</v>
      </c>
      <c r="AA8" s="877"/>
      <c r="AB8" s="871"/>
      <c r="AC8" s="878"/>
      <c r="AD8" s="866"/>
      <c r="AE8" s="871">
        <v>3079.9720000000002</v>
      </c>
      <c r="AF8" s="871">
        <v>3760.652</v>
      </c>
      <c r="AG8" s="259">
        <f t="shared" si="9"/>
        <v>6840.6239999999998</v>
      </c>
      <c r="AH8" s="877"/>
      <c r="AI8" s="871"/>
      <c r="AJ8" s="878"/>
      <c r="AK8" s="866"/>
      <c r="AL8" s="867">
        <f t="shared" si="10"/>
        <v>3086.1319440000002</v>
      </c>
      <c r="AM8" s="867">
        <f t="shared" si="10"/>
        <v>3768.1733039999999</v>
      </c>
      <c r="AN8" s="146">
        <f t="shared" si="2"/>
        <v>6854.3052480000006</v>
      </c>
      <c r="AO8" s="871"/>
      <c r="AP8" s="871"/>
      <c r="AQ8" s="879"/>
      <c r="AR8" s="1430">
        <f>0.00214+$AU$126</f>
        <v>9.2747499999999997E-2</v>
      </c>
      <c r="AS8" s="1430">
        <f>0.00214+$AU$126</f>
        <v>9.2747499999999997E-2</v>
      </c>
      <c r="AT8" s="1430">
        <f>0.00214+$AU$126</f>
        <v>9.2747499999999997E-2</v>
      </c>
      <c r="AU8" s="263"/>
      <c r="AV8" s="282">
        <v>3.6900000000000002E-2</v>
      </c>
      <c r="AW8" s="282">
        <v>2.1000000000000001E-2</v>
      </c>
      <c r="AX8" s="282"/>
      <c r="AY8" s="282"/>
      <c r="AZ8" s="873">
        <f t="shared" si="11"/>
        <v>1</v>
      </c>
      <c r="BA8" s="873">
        <v>0</v>
      </c>
      <c r="BB8" s="873">
        <f t="shared" si="12"/>
        <v>1</v>
      </c>
      <c r="BC8" s="873">
        <v>0</v>
      </c>
      <c r="BD8" s="283"/>
      <c r="BE8" s="283"/>
      <c r="BF8" s="283">
        <f>IF(H8&lt;=16,15.46,IF(AND(H8&gt;=17,H8&lt;=20),18.97,IF(AND(H8&gt;=21,H8&lt;=25),23.02,IF(AND(H8&gt;=26,H8&lt;=32),28.69,IF(AND(H8&gt;=33,H8&lt;=40),35.17,IF(AND(H8&gt;=41,H8&lt;=50),43.27,IF(AND(H8&gt;=51,H8&lt;=63),53.8)))))))</f>
        <v>15.46</v>
      </c>
      <c r="BG8" s="282"/>
      <c r="BH8" s="282"/>
      <c r="BI8" s="283"/>
      <c r="BJ8" s="281">
        <v>8.3999999999999995E-3</v>
      </c>
      <c r="BK8" s="307">
        <v>2.0999999999999999E-3</v>
      </c>
      <c r="BL8" s="289">
        <f t="shared" ref="BL8:BL79" si="14">(AK8*AR8)+(AL8*AS8)+(AM8*AT8)+(AN8*AU8)+((AL8*AV8)*AZ8)+((AL8*AX8)*BA8)+((AM8*AW8)*BB8)+((AM8*AY8)*BC8)+(BD8*12)+(H8*BE8*12)+(BF8*12)+(AO8*BG8)+(AP8*BH8)+(AQ8*BI8)+(BJ8*AN8)+(BK8*AN8)</f>
        <v>1086.2197892104798</v>
      </c>
      <c r="BM8" s="874" t="str">
        <f t="shared" si="6"/>
        <v>-</v>
      </c>
      <c r="BN8" s="874">
        <f t="shared" si="7"/>
        <v>1086.2197892104798</v>
      </c>
      <c r="BO8" s="875"/>
    </row>
    <row r="9" spans="1:87">
      <c r="A9" s="309">
        <v>4</v>
      </c>
      <c r="B9" s="1426" t="s">
        <v>418</v>
      </c>
      <c r="C9" s="1427" t="s">
        <v>859</v>
      </c>
      <c r="D9" s="856" t="s">
        <v>774</v>
      </c>
      <c r="E9" s="308" t="s">
        <v>652</v>
      </c>
      <c r="F9" s="255" t="s">
        <v>546</v>
      </c>
      <c r="G9" s="479" t="s">
        <v>553</v>
      </c>
      <c r="H9" s="923">
        <v>16</v>
      </c>
      <c r="I9" s="912"/>
      <c r="J9" s="914">
        <v>725.94600000000003</v>
      </c>
      <c r="K9" s="913">
        <v>812.02200000000005</v>
      </c>
      <c r="L9" s="146">
        <f t="shared" si="0"/>
        <v>1537.9680000000001</v>
      </c>
      <c r="M9" s="877"/>
      <c r="N9" s="871"/>
      <c r="O9" s="878"/>
      <c r="P9" s="866"/>
      <c r="Q9" s="913">
        <v>22.04</v>
      </c>
      <c r="R9" s="913">
        <v>28.120999999999999</v>
      </c>
      <c r="S9" s="146">
        <f t="shared" si="1"/>
        <v>50.161000000000001</v>
      </c>
      <c r="T9" s="877"/>
      <c r="U9" s="871"/>
      <c r="V9" s="878"/>
      <c r="W9" s="866"/>
      <c r="X9" s="871">
        <v>18.292000000000002</v>
      </c>
      <c r="Y9" s="871">
        <v>24.042000000000002</v>
      </c>
      <c r="Z9" s="259">
        <f t="shared" si="8"/>
        <v>42.334000000000003</v>
      </c>
      <c r="AA9" s="877"/>
      <c r="AB9" s="871"/>
      <c r="AC9" s="878"/>
      <c r="AD9" s="866"/>
      <c r="AE9" s="871">
        <v>20.452999999999999</v>
      </c>
      <c r="AF9" s="871">
        <v>28.824000000000002</v>
      </c>
      <c r="AG9" s="259">
        <f t="shared" si="9"/>
        <v>49.277000000000001</v>
      </c>
      <c r="AH9" s="877"/>
      <c r="AI9" s="871"/>
      <c r="AJ9" s="878"/>
      <c r="AK9" s="866"/>
      <c r="AL9" s="867">
        <f t="shared" si="10"/>
        <v>20.493905999999999</v>
      </c>
      <c r="AM9" s="867">
        <f t="shared" si="10"/>
        <v>28.881648000000002</v>
      </c>
      <c r="AN9" s="146">
        <f t="shared" si="2"/>
        <v>49.375554000000001</v>
      </c>
      <c r="AO9" s="871"/>
      <c r="AP9" s="871"/>
      <c r="AQ9" s="879"/>
      <c r="AR9" s="1430">
        <f>0.00214+$AU$126</f>
        <v>9.2747499999999997E-2</v>
      </c>
      <c r="AS9" s="1430">
        <f>0.00214+$AU$126</f>
        <v>9.2747499999999997E-2</v>
      </c>
      <c r="AT9" s="1430">
        <f>0.00214+$AU$126</f>
        <v>9.2747499999999997E-2</v>
      </c>
      <c r="AU9" s="282">
        <v>7.7200000000000005E-2</v>
      </c>
      <c r="AV9" s="282"/>
      <c r="AW9" s="282"/>
      <c r="AX9" s="282"/>
      <c r="AY9" s="282"/>
      <c r="AZ9" s="873">
        <f t="shared" si="11"/>
        <v>1</v>
      </c>
      <c r="BA9" s="873">
        <v>0</v>
      </c>
      <c r="BB9" s="873">
        <f t="shared" si="12"/>
        <v>1</v>
      </c>
      <c r="BC9" s="873">
        <v>0</v>
      </c>
      <c r="BD9" s="283"/>
      <c r="BE9" s="283"/>
      <c r="BF9" s="283">
        <f>IF(H9&lt;=16,3.75,IF(AND(H9&gt;=17,H9&lt;=20),4.42,IF(AND(H9&gt;=21,H9&lt;=25),5.07,IF(AND(H9&gt;=26,H9&lt;=32),5.98,IF(AND(H9&gt;=33,H9&lt;=40),7.02,IF(AND(H9&gt;=41,H9&lt;=50),8.32,IF(AND(H9&gt;=51,H9&lt;=63),10.01)))))))</f>
        <v>3.75</v>
      </c>
      <c r="BG9" s="263"/>
      <c r="BH9" s="263"/>
      <c r="BI9" s="288"/>
      <c r="BJ9" s="281">
        <v>8.3999999999999995E-3</v>
      </c>
      <c r="BK9" s="307">
        <v>2.0999999999999999E-3</v>
      </c>
      <c r="BL9" s="289">
        <f t="shared" si="14"/>
        <v>53.909695280415001</v>
      </c>
      <c r="BM9" s="874" t="str">
        <f t="shared" si="6"/>
        <v>-</v>
      </c>
      <c r="BN9" s="874">
        <f t="shared" si="7"/>
        <v>53.909695280415001</v>
      </c>
      <c r="BO9" s="875"/>
    </row>
    <row r="10" spans="1:87">
      <c r="A10" s="309">
        <v>5</v>
      </c>
      <c r="B10" s="1426" t="s">
        <v>467</v>
      </c>
      <c r="C10" s="1427" t="s">
        <v>858</v>
      </c>
      <c r="D10" s="856" t="s">
        <v>773</v>
      </c>
      <c r="E10" s="308" t="s">
        <v>509</v>
      </c>
      <c r="F10" s="255" t="s">
        <v>546</v>
      </c>
      <c r="G10" s="479" t="s">
        <v>554</v>
      </c>
      <c r="H10" s="923">
        <v>25</v>
      </c>
      <c r="I10" s="912"/>
      <c r="J10" s="913">
        <v>778.49</v>
      </c>
      <c r="K10" s="913">
        <v>773.17200000000003</v>
      </c>
      <c r="L10" s="146">
        <f t="shared" si="0"/>
        <v>1551.662</v>
      </c>
      <c r="M10" s="877"/>
      <c r="N10" s="871"/>
      <c r="O10" s="878"/>
      <c r="P10" s="866"/>
      <c r="Q10" s="913">
        <v>879.79499999999996</v>
      </c>
      <c r="R10" s="913">
        <v>1011.226</v>
      </c>
      <c r="S10" s="146">
        <f t="shared" si="1"/>
        <v>1891.021</v>
      </c>
      <c r="T10" s="877"/>
      <c r="U10" s="871"/>
      <c r="V10" s="878"/>
      <c r="W10" s="866"/>
      <c r="X10" s="871">
        <v>1153.4639999999999</v>
      </c>
      <c r="Y10" s="871">
        <v>1319.5060000000001</v>
      </c>
      <c r="Z10" s="259">
        <f t="shared" si="8"/>
        <v>2472.9700000000003</v>
      </c>
      <c r="AA10" s="962"/>
      <c r="AB10" s="871"/>
      <c r="AC10" s="878"/>
      <c r="AD10" s="866"/>
      <c r="AE10" s="871">
        <v>1036.752</v>
      </c>
      <c r="AF10" s="871">
        <v>1182.5989999999999</v>
      </c>
      <c r="AG10" s="259">
        <f t="shared" si="9"/>
        <v>2219.3509999999997</v>
      </c>
      <c r="AH10" s="962"/>
      <c r="AI10" s="871"/>
      <c r="AJ10" s="878"/>
      <c r="AK10" s="870"/>
      <c r="AL10" s="867">
        <f>AE10+(AE10*$AP$118)</f>
        <v>1037.7887519999999</v>
      </c>
      <c r="AM10" s="867">
        <f>AF10+(AF10*$AP$118)</f>
        <v>1183.7815989999999</v>
      </c>
      <c r="AN10" s="146">
        <f t="shared" si="2"/>
        <v>2221.5703509999998</v>
      </c>
      <c r="AO10" s="871"/>
      <c r="AP10" s="871"/>
      <c r="AQ10" s="879"/>
      <c r="AR10" s="1430">
        <f>0.00214+$AU$126</f>
        <v>9.2747499999999997E-2</v>
      </c>
      <c r="AS10" s="1430">
        <f>0.00214+$AU$126</f>
        <v>9.2747499999999997E-2</v>
      </c>
      <c r="AT10" s="1430">
        <f>0.00214+$AU$126</f>
        <v>9.2747499999999997E-2</v>
      </c>
      <c r="AU10" s="263"/>
      <c r="AV10" s="282">
        <v>6.0699999999999997E-2</v>
      </c>
      <c r="AW10" s="282">
        <v>3.5099999999999999E-2</v>
      </c>
      <c r="AX10" s="282"/>
      <c r="AY10" s="282"/>
      <c r="AZ10" s="873">
        <f t="shared" ref="AZ10:AZ13" si="15">100%-BA10</f>
        <v>1</v>
      </c>
      <c r="BA10" s="873">
        <v>0</v>
      </c>
      <c r="BB10" s="873">
        <f t="shared" ref="BB10:BB13" si="16">100%-BC10</f>
        <v>1</v>
      </c>
      <c r="BC10" s="873">
        <v>0</v>
      </c>
      <c r="BD10" s="283"/>
      <c r="BE10" s="283"/>
      <c r="BF10" s="283">
        <f>IF(H10&lt;=16,5.64,IF(AND(H10&gt;=17,H10&lt;=20),7.02,IF(AND(H10&gt;=21,H10&lt;=25),8.32,IF(AND(H10&gt;=26,H10&lt;=32),10.14,IF(AND(H10&gt;=33,H10&lt;=40),12.22,IF(AND(H10&gt;=41,H10&lt;=50),14.82,IF(AND(H10&gt;=51,H10&lt;=63),18.2)))))))</f>
        <v>8.32</v>
      </c>
      <c r="BG10" s="263"/>
      <c r="BH10" s="263"/>
      <c r="BI10" s="288"/>
      <c r="BJ10" s="281">
        <v>8.3999999999999995E-3</v>
      </c>
      <c r="BK10" s="307">
        <v>2.0999999999999999E-3</v>
      </c>
      <c r="BL10" s="289">
        <f t="shared" si="14"/>
        <v>433.75609618617244</v>
      </c>
      <c r="BM10" s="874">
        <f t="shared" si="6"/>
        <v>433.75609618617244</v>
      </c>
      <c r="BN10" s="874" t="str">
        <f t="shared" si="7"/>
        <v>-</v>
      </c>
      <c r="BO10" s="875"/>
    </row>
    <row r="11" spans="1:87">
      <c r="A11" s="309">
        <v>6</v>
      </c>
      <c r="B11" s="1426" t="s">
        <v>422</v>
      </c>
      <c r="C11" s="1427" t="s">
        <v>1060</v>
      </c>
      <c r="D11" s="856" t="s">
        <v>773</v>
      </c>
      <c r="E11" s="308" t="s">
        <v>510</v>
      </c>
      <c r="F11" s="255" t="s">
        <v>546</v>
      </c>
      <c r="G11" s="479" t="s">
        <v>554</v>
      </c>
      <c r="H11" s="923">
        <v>20</v>
      </c>
      <c r="I11" s="912"/>
      <c r="J11" s="913">
        <v>1178.9929999999999</v>
      </c>
      <c r="K11" s="913">
        <v>1205.903</v>
      </c>
      <c r="L11" s="146">
        <f t="shared" si="0"/>
        <v>2384.8959999999997</v>
      </c>
      <c r="M11" s="877"/>
      <c r="N11" s="871"/>
      <c r="O11" s="878"/>
      <c r="P11" s="866"/>
      <c r="Q11" s="913">
        <v>1023.7859999999999</v>
      </c>
      <c r="R11" s="913">
        <v>1212.2550000000001</v>
      </c>
      <c r="S11" s="146">
        <f t="shared" si="1"/>
        <v>2236.0410000000002</v>
      </c>
      <c r="T11" s="877"/>
      <c r="U11" s="871"/>
      <c r="V11" s="878"/>
      <c r="W11" s="866"/>
      <c r="X11" s="871">
        <v>767.02200000000005</v>
      </c>
      <c r="Y11" s="871">
        <v>937.18200000000002</v>
      </c>
      <c r="Z11" s="259">
        <f t="shared" si="8"/>
        <v>1704.2040000000002</v>
      </c>
      <c r="AA11" s="962"/>
      <c r="AB11" s="871"/>
      <c r="AC11" s="878"/>
      <c r="AD11" s="866"/>
      <c r="AE11" s="871">
        <v>704.44899999999996</v>
      </c>
      <c r="AF11" s="871">
        <v>884.09199999999998</v>
      </c>
      <c r="AG11" s="259">
        <f t="shared" si="9"/>
        <v>1588.5409999999999</v>
      </c>
      <c r="AH11" s="962"/>
      <c r="AI11" s="871"/>
      <c r="AJ11" s="878"/>
      <c r="AK11" s="870"/>
      <c r="AL11" s="867">
        <f>AE11+(AE11*$AP$118)</f>
        <v>705.15344899999991</v>
      </c>
      <c r="AM11" s="867">
        <f>AF11+(AF11*$AP$118)</f>
        <v>884.97609199999999</v>
      </c>
      <c r="AN11" s="146">
        <f t="shared" si="2"/>
        <v>1590.1295409999998</v>
      </c>
      <c r="AO11" s="871"/>
      <c r="AP11" s="871"/>
      <c r="AQ11" s="879"/>
      <c r="AR11" s="1430">
        <f>0.00214+$AU$126</f>
        <v>9.2747499999999997E-2</v>
      </c>
      <c r="AS11" s="1430">
        <f>0.00214+$AU$126</f>
        <v>9.2747499999999997E-2</v>
      </c>
      <c r="AT11" s="1430">
        <f>0.00214+$AU$126</f>
        <v>9.2747499999999997E-2</v>
      </c>
      <c r="AU11" s="263"/>
      <c r="AV11" s="282">
        <v>6.0699999999999997E-2</v>
      </c>
      <c r="AW11" s="282">
        <v>3.5099999999999999E-2</v>
      </c>
      <c r="AX11" s="282"/>
      <c r="AY11" s="282"/>
      <c r="AZ11" s="873">
        <f t="shared" si="15"/>
        <v>1</v>
      </c>
      <c r="BA11" s="873">
        <v>0</v>
      </c>
      <c r="BB11" s="873">
        <f t="shared" si="16"/>
        <v>1</v>
      </c>
      <c r="BC11" s="873">
        <v>0</v>
      </c>
      <c r="BD11" s="283"/>
      <c r="BE11" s="283"/>
      <c r="BF11" s="283">
        <f>IF(H11&lt;=16,5.64,IF(AND(H11&gt;=17,H11&lt;=20),7.02,IF(AND(H11&gt;=21,H11&lt;=25),8.32,IF(AND(H11&gt;=26,H11&lt;=32),10.14,IF(AND(H11&gt;=33,H11&lt;=40),12.22,IF(AND(H11&gt;=41,H11&lt;=50),14.82,IF(AND(H11&gt;=51,H11&lt;=63),18.2)))))))</f>
        <v>7.02</v>
      </c>
      <c r="BG11" s="263"/>
      <c r="BH11" s="263"/>
      <c r="BI11" s="288"/>
      <c r="BJ11" s="281">
        <v>8.3999999999999995E-3</v>
      </c>
      <c r="BK11" s="307">
        <v>2.0999999999999999E-3</v>
      </c>
      <c r="BL11" s="289">
        <f t="shared" ref="BL11:BL56" si="17">(AK11*AR11)+(AL11*AS11)+(AM11*AT11)+(AN11*AU11)+((AL11*AV11)*AZ11)+((AL11*AX11)*BA11)+((AM11*AW11)*BB11)+((AM11*AY11)*BC11)+(BD11*12)+(H11*BE11*12)+(BF11*12)+(AO11*BG11)+(AP11*BH11)+(AQ11*BI11)+(BJ11*AN11)+(BK11*AN11)</f>
        <v>322.28237496789745</v>
      </c>
      <c r="BM11" s="874">
        <f t="shared" si="6"/>
        <v>322.28237496789745</v>
      </c>
      <c r="BN11" s="874" t="str">
        <f t="shared" si="7"/>
        <v>-</v>
      </c>
      <c r="BO11" s="875"/>
    </row>
    <row r="12" spans="1:87">
      <c r="A12" s="309">
        <v>7</v>
      </c>
      <c r="B12" s="1426" t="s">
        <v>418</v>
      </c>
      <c r="C12" s="1427" t="s">
        <v>855</v>
      </c>
      <c r="D12" s="856" t="s">
        <v>774</v>
      </c>
      <c r="E12" s="308" t="s">
        <v>490</v>
      </c>
      <c r="F12" s="255" t="s">
        <v>546</v>
      </c>
      <c r="G12" s="479" t="s">
        <v>553</v>
      </c>
      <c r="H12" s="923">
        <v>10</v>
      </c>
      <c r="I12" s="912"/>
      <c r="J12" s="913">
        <v>328.82299999999998</v>
      </c>
      <c r="K12" s="913">
        <v>339.39800000000002</v>
      </c>
      <c r="L12" s="146">
        <f t="shared" si="0"/>
        <v>668.221</v>
      </c>
      <c r="M12" s="877"/>
      <c r="N12" s="871"/>
      <c r="O12" s="878"/>
      <c r="P12" s="866"/>
      <c r="Q12" s="913">
        <v>223.821</v>
      </c>
      <c r="R12" s="913">
        <v>290.76400000000001</v>
      </c>
      <c r="S12" s="146">
        <f t="shared" si="1"/>
        <v>514.58500000000004</v>
      </c>
      <c r="T12" s="877"/>
      <c r="U12" s="871"/>
      <c r="V12" s="878"/>
      <c r="W12" s="866"/>
      <c r="X12" s="871">
        <v>232.006</v>
      </c>
      <c r="Y12" s="871">
        <v>310.04599999999999</v>
      </c>
      <c r="Z12" s="259">
        <f t="shared" si="8"/>
        <v>542.05200000000002</v>
      </c>
      <c r="AA12" s="962"/>
      <c r="AB12" s="871"/>
      <c r="AC12" s="878"/>
      <c r="AD12" s="866"/>
      <c r="AE12" s="871">
        <v>238.297</v>
      </c>
      <c r="AF12" s="871">
        <v>313.49299999999999</v>
      </c>
      <c r="AG12" s="259">
        <f t="shared" si="9"/>
        <v>551.79</v>
      </c>
      <c r="AH12" s="962"/>
      <c r="AI12" s="871"/>
      <c r="AJ12" s="878"/>
      <c r="AK12" s="866"/>
      <c r="AL12" s="867">
        <f t="shared" ref="AL12:AM14" si="18">AE12+(AE12*$AP$119)</f>
        <v>238.773594</v>
      </c>
      <c r="AM12" s="867">
        <f t="shared" si="18"/>
        <v>314.11998599999998</v>
      </c>
      <c r="AN12" s="146">
        <f t="shared" si="2"/>
        <v>552.89357999999993</v>
      </c>
      <c r="AO12" s="871"/>
      <c r="AP12" s="871"/>
      <c r="AQ12" s="879"/>
      <c r="AR12" s="1430">
        <f>0.00214+$AU$126</f>
        <v>9.2747499999999997E-2</v>
      </c>
      <c r="AS12" s="1430">
        <f>0.00214+$AU$126</f>
        <v>9.2747499999999997E-2</v>
      </c>
      <c r="AT12" s="1430">
        <f>0.00214+$AU$126</f>
        <v>9.2747499999999997E-2</v>
      </c>
      <c r="AU12" s="282">
        <v>7.7200000000000005E-2</v>
      </c>
      <c r="AV12" s="282"/>
      <c r="AW12" s="282"/>
      <c r="AX12" s="282"/>
      <c r="AY12" s="282"/>
      <c r="AZ12" s="873">
        <f t="shared" si="15"/>
        <v>1</v>
      </c>
      <c r="BA12" s="873">
        <v>0</v>
      </c>
      <c r="BB12" s="873">
        <f t="shared" si="16"/>
        <v>1</v>
      </c>
      <c r="BC12" s="873">
        <v>0</v>
      </c>
      <c r="BD12" s="283"/>
      <c r="BE12" s="283"/>
      <c r="BF12" s="283">
        <f>IF(H12&lt;=16,3.75,IF(AND(H12&gt;=17,H12&lt;=20),4.42,IF(AND(H12&gt;=21,H12&lt;=25),5.07,IF(AND(H12&gt;=26,H12&lt;=32),5.98,IF(AND(H12&gt;=33,H12&lt;=40),7.02,IF(AND(H12&gt;=41,H12&lt;=50),8.32,IF(AND(H12&gt;=51,H12&lt;=63),10.01)))))))</f>
        <v>3.75</v>
      </c>
      <c r="BG12" s="263"/>
      <c r="BH12" s="263"/>
      <c r="BI12" s="288"/>
      <c r="BJ12" s="281">
        <v>8.3999999999999995E-3</v>
      </c>
      <c r="BK12" s="307">
        <v>2.0999999999999999E-3</v>
      </c>
      <c r="BL12" s="289">
        <f t="shared" si="17"/>
        <v>144.76826427704998</v>
      </c>
      <c r="BM12" s="874" t="str">
        <f t="shared" si="6"/>
        <v>-</v>
      </c>
      <c r="BN12" s="874">
        <f t="shared" si="7"/>
        <v>144.76826427704998</v>
      </c>
      <c r="BO12" s="875"/>
    </row>
    <row r="13" spans="1:87">
      <c r="A13" s="309">
        <v>8</v>
      </c>
      <c r="B13" s="1426" t="s">
        <v>418</v>
      </c>
      <c r="C13" s="1427" t="s">
        <v>854</v>
      </c>
      <c r="D13" s="856" t="s">
        <v>774</v>
      </c>
      <c r="E13" s="308" t="s">
        <v>491</v>
      </c>
      <c r="F13" s="255" t="s">
        <v>546</v>
      </c>
      <c r="G13" s="479" t="s">
        <v>553</v>
      </c>
      <c r="H13" s="923">
        <v>10</v>
      </c>
      <c r="I13" s="912"/>
      <c r="J13" s="913">
        <v>148.126</v>
      </c>
      <c r="K13" s="913">
        <v>145.09299999999999</v>
      </c>
      <c r="L13" s="146">
        <f t="shared" si="0"/>
        <v>293.21899999999999</v>
      </c>
      <c r="M13" s="877"/>
      <c r="N13" s="871"/>
      <c r="O13" s="878"/>
      <c r="P13" s="866"/>
      <c r="Q13" s="913">
        <v>178.12</v>
      </c>
      <c r="R13" s="913">
        <v>228.54499999999999</v>
      </c>
      <c r="S13" s="146">
        <f t="shared" si="1"/>
        <v>406.66499999999996</v>
      </c>
      <c r="T13" s="877"/>
      <c r="U13" s="871"/>
      <c r="V13" s="878"/>
      <c r="W13" s="866"/>
      <c r="X13" s="871">
        <v>193.226</v>
      </c>
      <c r="Y13" s="871">
        <v>261.58100000000002</v>
      </c>
      <c r="Z13" s="259">
        <f t="shared" si="8"/>
        <v>454.80700000000002</v>
      </c>
      <c r="AA13" s="962"/>
      <c r="AB13" s="871"/>
      <c r="AC13" s="878"/>
      <c r="AD13" s="866"/>
      <c r="AE13" s="871">
        <v>190.83</v>
      </c>
      <c r="AF13" s="871">
        <v>250.31399999999999</v>
      </c>
      <c r="AG13" s="259">
        <f t="shared" si="9"/>
        <v>441.14400000000001</v>
      </c>
      <c r="AH13" s="962"/>
      <c r="AI13" s="871"/>
      <c r="AJ13" s="878"/>
      <c r="AK13" s="866"/>
      <c r="AL13" s="867">
        <f t="shared" si="18"/>
        <v>191.21166000000002</v>
      </c>
      <c r="AM13" s="867">
        <f t="shared" si="18"/>
        <v>250.814628</v>
      </c>
      <c r="AN13" s="146">
        <f t="shared" si="2"/>
        <v>442.02628800000002</v>
      </c>
      <c r="AO13" s="871"/>
      <c r="AP13" s="871"/>
      <c r="AQ13" s="879"/>
      <c r="AR13" s="1430">
        <f>0.00214+$AU$126</f>
        <v>9.2747499999999997E-2</v>
      </c>
      <c r="AS13" s="1430">
        <f>0.00214+$AU$126</f>
        <v>9.2747499999999997E-2</v>
      </c>
      <c r="AT13" s="1430">
        <f>0.00214+$AU$126</f>
        <v>9.2747499999999997E-2</v>
      </c>
      <c r="AU13" s="282">
        <v>7.7200000000000005E-2</v>
      </c>
      <c r="AV13" s="282"/>
      <c r="AW13" s="282"/>
      <c r="AX13" s="282"/>
      <c r="AY13" s="282"/>
      <c r="AZ13" s="873">
        <f t="shared" si="15"/>
        <v>1</v>
      </c>
      <c r="BA13" s="873">
        <v>0</v>
      </c>
      <c r="BB13" s="873">
        <f t="shared" si="16"/>
        <v>1</v>
      </c>
      <c r="BC13" s="873">
        <v>0</v>
      </c>
      <c r="BD13" s="283"/>
      <c r="BE13" s="283"/>
      <c r="BF13" s="283">
        <f>IF(H13&lt;=16,3.75,IF(AND(H13&gt;=17,H13&lt;=20),4.42,IF(AND(H13&gt;=21,H13&lt;=25),5.07,IF(AND(H13&gt;=26,H13&lt;=32),5.98,IF(AND(H13&gt;=33,H13&lt;=40),7.02,IF(AND(H13&gt;=41,H13&lt;=50),8.32,IF(AND(H13&gt;=51,H13&lt;=63),10.01)))))))</f>
        <v>3.75</v>
      </c>
      <c r="BG13" s="263"/>
      <c r="BH13" s="263"/>
      <c r="BI13" s="288"/>
      <c r="BJ13" s="281">
        <v>8.3999999999999995E-3</v>
      </c>
      <c r="BK13" s="307">
        <v>2.0999999999999999E-3</v>
      </c>
      <c r="BL13" s="289">
        <f t="shared" si="17"/>
        <v>124.76253860388</v>
      </c>
      <c r="BM13" s="874" t="str">
        <f t="shared" si="6"/>
        <v>-</v>
      </c>
      <c r="BN13" s="874">
        <f t="shared" si="7"/>
        <v>124.76253860388</v>
      </c>
      <c r="BO13" s="875"/>
    </row>
    <row r="14" spans="1:87">
      <c r="A14" s="309">
        <v>9</v>
      </c>
      <c r="B14" s="1426" t="s">
        <v>418</v>
      </c>
      <c r="C14" s="1427" t="s">
        <v>663</v>
      </c>
      <c r="D14" s="856" t="s">
        <v>774</v>
      </c>
      <c r="E14" s="308" t="s">
        <v>664</v>
      </c>
      <c r="F14" s="255" t="s">
        <v>546</v>
      </c>
      <c r="G14" s="479" t="s">
        <v>553</v>
      </c>
      <c r="H14" s="923">
        <v>20</v>
      </c>
      <c r="I14" s="912"/>
      <c r="J14" s="913">
        <v>59.320999999999998</v>
      </c>
      <c r="K14" s="913">
        <v>44.247</v>
      </c>
      <c r="L14" s="146">
        <f t="shared" si="0"/>
        <v>103.568</v>
      </c>
      <c r="M14" s="877"/>
      <c r="N14" s="871"/>
      <c r="O14" s="878"/>
      <c r="P14" s="866"/>
      <c r="Q14" s="913">
        <v>60.561999999999998</v>
      </c>
      <c r="R14" s="913">
        <v>60.212000000000003</v>
      </c>
      <c r="S14" s="146">
        <f t="shared" si="1"/>
        <v>120.774</v>
      </c>
      <c r="T14" s="877"/>
      <c r="U14" s="871"/>
      <c r="V14" s="878"/>
      <c r="W14" s="866"/>
      <c r="X14" s="871">
        <v>48.965000000000003</v>
      </c>
      <c r="Y14" s="871">
        <v>61.055999999999997</v>
      </c>
      <c r="Z14" s="259">
        <f t="shared" si="8"/>
        <v>110.021</v>
      </c>
      <c r="AA14" s="962"/>
      <c r="AB14" s="871"/>
      <c r="AC14" s="878"/>
      <c r="AD14" s="866"/>
      <c r="AE14" s="871">
        <v>47.491</v>
      </c>
      <c r="AF14" s="871">
        <v>68.016999999999996</v>
      </c>
      <c r="AG14" s="259">
        <f t="shared" si="9"/>
        <v>115.508</v>
      </c>
      <c r="AH14" s="962"/>
      <c r="AI14" s="871"/>
      <c r="AJ14" s="878"/>
      <c r="AK14" s="866"/>
      <c r="AL14" s="867">
        <f t="shared" si="18"/>
        <v>47.585982000000001</v>
      </c>
      <c r="AM14" s="867">
        <f t="shared" si="18"/>
        <v>68.153033999999991</v>
      </c>
      <c r="AN14" s="146">
        <f t="shared" si="2"/>
        <v>115.73901599999999</v>
      </c>
      <c r="AO14" s="871"/>
      <c r="AP14" s="871"/>
      <c r="AQ14" s="879"/>
      <c r="AR14" s="1430">
        <f>0.00214+$AU$126</f>
        <v>9.2747499999999997E-2</v>
      </c>
      <c r="AS14" s="1430">
        <f>0.00214+$AU$126</f>
        <v>9.2747499999999997E-2</v>
      </c>
      <c r="AT14" s="1430">
        <f>0.00214+$AU$126</f>
        <v>9.2747499999999997E-2</v>
      </c>
      <c r="AU14" s="282">
        <v>7.7200000000000005E-2</v>
      </c>
      <c r="AV14" s="282"/>
      <c r="AW14" s="282"/>
      <c r="AX14" s="282"/>
      <c r="AY14" s="282"/>
      <c r="AZ14" s="873">
        <f t="shared" si="3"/>
        <v>1</v>
      </c>
      <c r="BA14" s="873">
        <v>0</v>
      </c>
      <c r="BB14" s="873">
        <f t="shared" si="4"/>
        <v>1</v>
      </c>
      <c r="BC14" s="873">
        <v>0</v>
      </c>
      <c r="BD14" s="283"/>
      <c r="BE14" s="283"/>
      <c r="BF14" s="283">
        <f>IF(H14&lt;=16,3.75,IF(AND(H14&gt;=17,H14&lt;=20),4.42,IF(AND(H14&gt;=21,H14&lt;=25),5.07,IF(AND(H14&gt;=26,H14&lt;=32),5.98,IF(AND(H14&gt;=33,H14&lt;=40),7.02,IF(AND(H14&gt;=41,H14&lt;=50),8.32,IF(AND(H14&gt;=51,H14&lt;=63),10.01)))))))</f>
        <v>4.42</v>
      </c>
      <c r="BG14" s="263"/>
      <c r="BH14" s="263"/>
      <c r="BI14" s="288"/>
      <c r="BJ14" s="281">
        <v>8.3999999999999995E-3</v>
      </c>
      <c r="BK14" s="307">
        <v>2.0999999999999999E-3</v>
      </c>
      <c r="BL14" s="289">
        <f t="shared" si="17"/>
        <v>73.924816089659998</v>
      </c>
      <c r="BM14" s="874" t="str">
        <f t="shared" si="6"/>
        <v>-</v>
      </c>
      <c r="BN14" s="874">
        <f t="shared" si="7"/>
        <v>73.924816089659998</v>
      </c>
      <c r="BO14" s="875"/>
    </row>
    <row r="15" spans="1:87">
      <c r="A15" s="309">
        <v>10</v>
      </c>
      <c r="B15" s="1426" t="s">
        <v>420</v>
      </c>
      <c r="C15" s="1427" t="s">
        <v>865</v>
      </c>
      <c r="D15" s="856" t="s">
        <v>773</v>
      </c>
      <c r="E15" s="308" t="s">
        <v>515</v>
      </c>
      <c r="F15" s="255" t="s">
        <v>546</v>
      </c>
      <c r="G15" s="479" t="s">
        <v>554</v>
      </c>
      <c r="H15" s="923">
        <v>25</v>
      </c>
      <c r="I15" s="912"/>
      <c r="J15" s="913">
        <v>4084.74</v>
      </c>
      <c r="K15" s="913">
        <v>5846.2380000000003</v>
      </c>
      <c r="L15" s="146">
        <f t="shared" si="0"/>
        <v>9930.9779999999992</v>
      </c>
      <c r="M15" s="877"/>
      <c r="N15" s="871"/>
      <c r="O15" s="878"/>
      <c r="P15" s="866"/>
      <c r="Q15" s="913">
        <v>3508.2179999999998</v>
      </c>
      <c r="R15" s="913">
        <v>5557.2550000000001</v>
      </c>
      <c r="S15" s="146">
        <f t="shared" si="1"/>
        <v>9065.473</v>
      </c>
      <c r="T15" s="877"/>
      <c r="U15" s="871"/>
      <c r="V15" s="878"/>
      <c r="W15" s="866"/>
      <c r="X15" s="871">
        <v>2859.5639999999999</v>
      </c>
      <c r="Y15" s="871">
        <v>4891.6750000000002</v>
      </c>
      <c r="Z15" s="259">
        <f t="shared" si="8"/>
        <v>7751.2389999999996</v>
      </c>
      <c r="AA15" s="962"/>
      <c r="AB15" s="871"/>
      <c r="AC15" s="878"/>
      <c r="AD15" s="866"/>
      <c r="AE15" s="871">
        <v>3921.596</v>
      </c>
      <c r="AF15" s="871">
        <v>7022.1909999999998</v>
      </c>
      <c r="AG15" s="259">
        <f t="shared" si="9"/>
        <v>10943.787</v>
      </c>
      <c r="AH15" s="962"/>
      <c r="AI15" s="871"/>
      <c r="AJ15" s="878"/>
      <c r="AK15" s="870"/>
      <c r="AL15" s="867">
        <f t="shared" ref="AL15:AM17" si="19">AE15+(AE15*$AP$118)</f>
        <v>3925.5175960000001</v>
      </c>
      <c r="AM15" s="867">
        <f t="shared" si="19"/>
        <v>7029.2131909999998</v>
      </c>
      <c r="AN15" s="146">
        <f t="shared" si="2"/>
        <v>10954.730787</v>
      </c>
      <c r="AO15" s="871"/>
      <c r="AP15" s="871"/>
      <c r="AQ15" s="879"/>
      <c r="AR15" s="1430">
        <f>0.00214+$AU$126</f>
        <v>9.2747499999999997E-2</v>
      </c>
      <c r="AS15" s="1430">
        <f>0.00214+$AU$126</f>
        <v>9.2747499999999997E-2</v>
      </c>
      <c r="AT15" s="1430">
        <f>0.00214+$AU$126</f>
        <v>9.2747499999999997E-2</v>
      </c>
      <c r="AU15" s="263"/>
      <c r="AV15" s="282">
        <v>6.0699999999999997E-2</v>
      </c>
      <c r="AW15" s="282">
        <v>3.5099999999999999E-2</v>
      </c>
      <c r="AX15" s="282"/>
      <c r="AY15" s="282"/>
      <c r="AZ15" s="873">
        <f t="shared" ref="AZ15" si="20">100%-BA15</f>
        <v>1</v>
      </c>
      <c r="BA15" s="873">
        <v>0</v>
      </c>
      <c r="BB15" s="873">
        <f t="shared" ref="BB15" si="21">100%-BC15</f>
        <v>1</v>
      </c>
      <c r="BC15" s="873">
        <v>0</v>
      </c>
      <c r="BD15" s="283"/>
      <c r="BE15" s="283"/>
      <c r="BF15" s="283">
        <f>IF(H15&lt;=16,5.64,IF(AND(H15&gt;=17,H15&lt;=20),7.02,IF(AND(H15&gt;=21,H15&lt;=25),8.32,IF(AND(H15&gt;=26,H15&lt;=32),10.14,IF(AND(H15&gt;=33,H15&lt;=40),12.22,IF(AND(H15&gt;=41,H15&lt;=50),14.82,IF(AND(H15&gt;=51,H15&lt;=63),18.2)))))))</f>
        <v>8.32</v>
      </c>
      <c r="BG15" s="263"/>
      <c r="BH15" s="263"/>
      <c r="BI15" s="288"/>
      <c r="BJ15" s="281">
        <v>8.3999999999999995E-3</v>
      </c>
      <c r="BK15" s="307">
        <v>2.0999999999999999E-3</v>
      </c>
      <c r="BL15" s="289">
        <f t="shared" si="17"/>
        <v>1715.8928680120823</v>
      </c>
      <c r="BM15" s="874">
        <f t="shared" si="6"/>
        <v>1715.8928680120823</v>
      </c>
      <c r="BN15" s="874" t="str">
        <f t="shared" si="7"/>
        <v>-</v>
      </c>
      <c r="BO15" s="875"/>
    </row>
    <row r="16" spans="1:87">
      <c r="A16" s="309">
        <v>11</v>
      </c>
      <c r="B16" s="1426" t="s">
        <v>420</v>
      </c>
      <c r="C16" s="1427" t="s">
        <v>880</v>
      </c>
      <c r="D16" s="856" t="s">
        <v>773</v>
      </c>
      <c r="E16" s="308" t="s">
        <v>879</v>
      </c>
      <c r="F16" s="255" t="s">
        <v>546</v>
      </c>
      <c r="G16" s="479" t="s">
        <v>557</v>
      </c>
      <c r="H16" s="923">
        <v>32</v>
      </c>
      <c r="I16" s="912"/>
      <c r="J16" s="913">
        <v>2169.0120000000002</v>
      </c>
      <c r="K16" s="913">
        <v>2864.6219999999998</v>
      </c>
      <c r="L16" s="146">
        <f t="shared" si="0"/>
        <v>5033.634</v>
      </c>
      <c r="M16" s="877"/>
      <c r="N16" s="871"/>
      <c r="O16" s="878"/>
      <c r="P16" s="866"/>
      <c r="Q16" s="913">
        <v>8921.48</v>
      </c>
      <c r="R16" s="913">
        <v>16827.416000000001</v>
      </c>
      <c r="S16" s="146">
        <f t="shared" si="1"/>
        <v>25748.896000000001</v>
      </c>
      <c r="T16" s="877"/>
      <c r="U16" s="871"/>
      <c r="V16" s="878"/>
      <c r="W16" s="866"/>
      <c r="X16" s="871">
        <v>8316.3559999999998</v>
      </c>
      <c r="Y16" s="871">
        <v>15958.516</v>
      </c>
      <c r="Z16" s="259">
        <f t="shared" si="8"/>
        <v>24274.871999999999</v>
      </c>
      <c r="AA16" s="962"/>
      <c r="AB16" s="871"/>
      <c r="AC16" s="878"/>
      <c r="AD16" s="866"/>
      <c r="AE16" s="871">
        <v>8715.1689999999999</v>
      </c>
      <c r="AF16" s="871">
        <v>16243.477000000001</v>
      </c>
      <c r="AG16" s="259">
        <f t="shared" si="9"/>
        <v>24958.646000000001</v>
      </c>
      <c r="AH16" s="962"/>
      <c r="AI16" s="871"/>
      <c r="AJ16" s="878"/>
      <c r="AK16" s="870"/>
      <c r="AL16" s="867">
        <f t="shared" si="19"/>
        <v>8723.884168999999</v>
      </c>
      <c r="AM16" s="867">
        <f t="shared" si="19"/>
        <v>16259.720477000001</v>
      </c>
      <c r="AN16" s="146">
        <f t="shared" si="2"/>
        <v>24983.604646</v>
      </c>
      <c r="AO16" s="871"/>
      <c r="AP16" s="871"/>
      <c r="AQ16" s="879"/>
      <c r="AR16" s="1430">
        <f>0.00214+$AU$126</f>
        <v>9.2747499999999997E-2</v>
      </c>
      <c r="AS16" s="1430">
        <f>0.00214+$AU$126</f>
        <v>9.2747499999999997E-2</v>
      </c>
      <c r="AT16" s="1430">
        <f>0.00214+$AU$126</f>
        <v>9.2747499999999997E-2</v>
      </c>
      <c r="AU16" s="263"/>
      <c r="AV16" s="282">
        <v>3.6900000000000002E-2</v>
      </c>
      <c r="AW16" s="282">
        <v>2.1000000000000001E-2</v>
      </c>
      <c r="AX16" s="282"/>
      <c r="AY16" s="282"/>
      <c r="AZ16" s="873">
        <f t="shared" ref="AZ16:AZ18" si="22">100%-BA16</f>
        <v>1</v>
      </c>
      <c r="BA16" s="873">
        <v>0</v>
      </c>
      <c r="BB16" s="873">
        <f t="shared" ref="BB16:BB18" si="23">100%-BC16</f>
        <v>1</v>
      </c>
      <c r="BC16" s="873">
        <v>0</v>
      </c>
      <c r="BD16" s="283"/>
      <c r="BE16" s="283"/>
      <c r="BF16" s="283">
        <f>IF(H16&lt;=16,15.46,IF(AND(H16&gt;=17,H16&lt;=20),18.97,IF(AND(H16&gt;=21,H16&lt;=25),23.02,IF(AND(H16&gt;=26,H16&lt;=32),28.69,IF(AND(H16&gt;=33,H16&lt;=40),35.17,IF(AND(H16&gt;=41,H16&lt;=50),43.27,IF(AND(H16&gt;=51,H16&lt;=63),53.8)))))))</f>
        <v>28.69</v>
      </c>
      <c r="BG16" s="282"/>
      <c r="BH16" s="282"/>
      <c r="BI16" s="283"/>
      <c r="BJ16" s="281">
        <v>8.3999999999999995E-3</v>
      </c>
      <c r="BK16" s="307">
        <v>2.0999999999999999E-3</v>
      </c>
      <c r="BL16" s="289">
        <f t="shared" si="17"/>
        <v>3587.1401765409846</v>
      </c>
      <c r="BM16" s="874">
        <f t="shared" si="6"/>
        <v>3587.1401765409846</v>
      </c>
      <c r="BN16" s="874" t="str">
        <f t="shared" si="7"/>
        <v>-</v>
      </c>
      <c r="BO16" s="875"/>
    </row>
    <row r="17" spans="1:67">
      <c r="A17" s="309">
        <v>12</v>
      </c>
      <c r="B17" s="1426" t="s">
        <v>459</v>
      </c>
      <c r="C17" s="1427" t="s">
        <v>846</v>
      </c>
      <c r="D17" s="856" t="s">
        <v>773</v>
      </c>
      <c r="E17" s="308" t="s">
        <v>495</v>
      </c>
      <c r="F17" s="255" t="s">
        <v>546</v>
      </c>
      <c r="G17" s="479" t="s">
        <v>554</v>
      </c>
      <c r="H17" s="923">
        <v>16</v>
      </c>
      <c r="I17" s="912"/>
      <c r="J17" s="913">
        <v>2435.8910000000001</v>
      </c>
      <c r="K17" s="913">
        <v>2615.0419999999999</v>
      </c>
      <c r="L17" s="146">
        <f t="shared" si="0"/>
        <v>5050.933</v>
      </c>
      <c r="M17" s="877"/>
      <c r="N17" s="871"/>
      <c r="O17" s="878"/>
      <c r="P17" s="866"/>
      <c r="Q17" s="913">
        <v>1653.7280000000001</v>
      </c>
      <c r="R17" s="913">
        <v>1959.711</v>
      </c>
      <c r="S17" s="146">
        <f t="shared" si="1"/>
        <v>3613.4390000000003</v>
      </c>
      <c r="T17" s="877"/>
      <c r="U17" s="871"/>
      <c r="V17" s="878"/>
      <c r="W17" s="866"/>
      <c r="X17" s="871">
        <v>1372.0940000000001</v>
      </c>
      <c r="Y17" s="871">
        <v>1485.271</v>
      </c>
      <c r="Z17" s="259">
        <f t="shared" si="8"/>
        <v>2857.3649999999998</v>
      </c>
      <c r="AA17" s="962"/>
      <c r="AB17" s="871"/>
      <c r="AC17" s="878"/>
      <c r="AD17" s="866"/>
      <c r="AE17" s="871">
        <v>1233.1020000000001</v>
      </c>
      <c r="AF17" s="871">
        <v>1277.3389999999999</v>
      </c>
      <c r="AG17" s="259">
        <f t="shared" si="9"/>
        <v>2510.4409999999998</v>
      </c>
      <c r="AH17" s="962"/>
      <c r="AI17" s="871"/>
      <c r="AJ17" s="878"/>
      <c r="AK17" s="870"/>
      <c r="AL17" s="867">
        <f t="shared" si="19"/>
        <v>1234.335102</v>
      </c>
      <c r="AM17" s="867">
        <f t="shared" si="19"/>
        <v>1278.6163389999999</v>
      </c>
      <c r="AN17" s="146">
        <f t="shared" si="2"/>
        <v>2512.9514410000002</v>
      </c>
      <c r="AO17" s="871"/>
      <c r="AP17" s="871"/>
      <c r="AQ17" s="879"/>
      <c r="AR17" s="1430">
        <f>0.00214+$AU$126</f>
        <v>9.2747499999999997E-2</v>
      </c>
      <c r="AS17" s="1430">
        <f>0.00214+$AU$126</f>
        <v>9.2747499999999997E-2</v>
      </c>
      <c r="AT17" s="1430">
        <f>0.00214+$AU$126</f>
        <v>9.2747499999999997E-2</v>
      </c>
      <c r="AU17" s="263"/>
      <c r="AV17" s="282">
        <v>6.0699999999999997E-2</v>
      </c>
      <c r="AW17" s="282">
        <v>3.5099999999999999E-2</v>
      </c>
      <c r="AX17" s="282"/>
      <c r="AY17" s="282"/>
      <c r="AZ17" s="873">
        <f t="shared" si="22"/>
        <v>1</v>
      </c>
      <c r="BA17" s="873">
        <v>0</v>
      </c>
      <c r="BB17" s="873">
        <f t="shared" si="23"/>
        <v>1</v>
      </c>
      <c r="BC17" s="873">
        <v>0</v>
      </c>
      <c r="BD17" s="283"/>
      <c r="BE17" s="283"/>
      <c r="BF17" s="283">
        <f>IF(H17&lt;=16,5.64,IF(AND(H17&gt;=17,H17&lt;=20),7.02,IF(AND(H17&gt;=21,H17&lt;=25),8.32,IF(AND(H17&gt;=26,H17&lt;=32),10.14,IF(AND(H17&gt;=33,H17&lt;=40),12.22,IF(AND(H17&gt;=41,H17&lt;=50),14.82,IF(AND(H17&gt;=51,H17&lt;=63),18.2)))))))</f>
        <v>5.64</v>
      </c>
      <c r="BG17" s="263"/>
      <c r="BH17" s="263"/>
      <c r="BI17" s="288"/>
      <c r="BJ17" s="281">
        <v>8.3999999999999995E-3</v>
      </c>
      <c r="BK17" s="307">
        <v>2.0999999999999999E-3</v>
      </c>
      <c r="BL17" s="289">
        <f t="shared" si="17"/>
        <v>446.93952809494743</v>
      </c>
      <c r="BM17" s="874">
        <f t="shared" si="6"/>
        <v>446.93952809494743</v>
      </c>
      <c r="BN17" s="874" t="str">
        <f t="shared" si="7"/>
        <v>-</v>
      </c>
      <c r="BO17" s="875"/>
    </row>
    <row r="18" spans="1:67">
      <c r="A18" s="309">
        <v>13</v>
      </c>
      <c r="B18" s="1426" t="s">
        <v>1054</v>
      </c>
      <c r="C18" s="1427" t="s">
        <v>1055</v>
      </c>
      <c r="D18" s="856" t="s">
        <v>773</v>
      </c>
      <c r="E18" s="308" t="s">
        <v>1056</v>
      </c>
      <c r="F18" s="255" t="s">
        <v>546</v>
      </c>
      <c r="G18" s="479" t="s">
        <v>553</v>
      </c>
      <c r="H18" s="923">
        <v>63</v>
      </c>
      <c r="I18" s="912"/>
      <c r="J18" s="947" t="s">
        <v>349</v>
      </c>
      <c r="K18" s="947" t="s">
        <v>349</v>
      </c>
      <c r="L18" s="146">
        <f t="shared" si="0"/>
        <v>0</v>
      </c>
      <c r="M18" s="877"/>
      <c r="N18" s="871"/>
      <c r="O18" s="878"/>
      <c r="P18" s="866"/>
      <c r="Q18" s="947" t="s">
        <v>349</v>
      </c>
      <c r="R18" s="947" t="s">
        <v>349</v>
      </c>
      <c r="S18" s="146">
        <f t="shared" si="1"/>
        <v>0</v>
      </c>
      <c r="T18" s="877"/>
      <c r="U18" s="871"/>
      <c r="V18" s="878"/>
      <c r="W18" s="866"/>
      <c r="X18" s="947" t="s">
        <v>349</v>
      </c>
      <c r="Y18" s="947" t="s">
        <v>349</v>
      </c>
      <c r="Z18" s="259">
        <f t="shared" si="8"/>
        <v>0</v>
      </c>
      <c r="AA18" s="962"/>
      <c r="AB18" s="871"/>
      <c r="AC18" s="878"/>
      <c r="AD18" s="866"/>
      <c r="AE18" s="871">
        <v>1112.5899999999999</v>
      </c>
      <c r="AF18" s="871">
        <v>1387.6869999999999</v>
      </c>
      <c r="AG18" s="259">
        <f t="shared" si="9"/>
        <v>2500.277</v>
      </c>
      <c r="AH18" s="962"/>
      <c r="AI18" s="871"/>
      <c r="AJ18" s="878"/>
      <c r="AK18" s="870"/>
      <c r="AL18" s="867">
        <f>(AE18/6)*12</f>
        <v>2225.1799999999998</v>
      </c>
      <c r="AM18" s="867">
        <f>(AF18/6)*12</f>
        <v>2775.3739999999998</v>
      </c>
      <c r="AN18" s="146">
        <f t="shared" si="2"/>
        <v>5000.5540000000001</v>
      </c>
      <c r="AO18" s="871"/>
      <c r="AP18" s="871"/>
      <c r="AQ18" s="879"/>
      <c r="AR18" s="1430">
        <f>0.00214+$AU$126</f>
        <v>9.2747499999999997E-2</v>
      </c>
      <c r="AS18" s="1430">
        <f>0.00214+$AU$126</f>
        <v>9.2747499999999997E-2</v>
      </c>
      <c r="AT18" s="1430">
        <f>0.00214+$AU$126</f>
        <v>9.2747499999999997E-2</v>
      </c>
      <c r="AU18" s="282">
        <v>7.7200000000000005E-2</v>
      </c>
      <c r="AV18" s="282"/>
      <c r="AW18" s="282"/>
      <c r="AX18" s="282"/>
      <c r="AY18" s="282"/>
      <c r="AZ18" s="873">
        <f t="shared" si="22"/>
        <v>1</v>
      </c>
      <c r="BA18" s="873">
        <v>0</v>
      </c>
      <c r="BB18" s="873">
        <f t="shared" si="23"/>
        <v>1</v>
      </c>
      <c r="BC18" s="873">
        <v>0</v>
      </c>
      <c r="BD18" s="283"/>
      <c r="BE18" s="283"/>
      <c r="BF18" s="283">
        <f>IF(H18&lt;=16,3.75,IF(AND(H18&gt;=17,H18&lt;=20),4.42,IF(AND(H18&gt;=21,H18&lt;=25),5.07,IF(AND(H18&gt;=26,H18&lt;=32),5.98,IF(AND(H18&gt;=33,H18&lt;=40),7.02,IF(AND(H18&gt;=41,H18&lt;=50),8.32,IF(AND(H18&gt;=51,H18&lt;=63),10.01)))))))</f>
        <v>10.01</v>
      </c>
      <c r="BG18" s="263"/>
      <c r="BH18" s="263"/>
      <c r="BI18" s="288"/>
      <c r="BJ18" s="281">
        <v>8.3999999999999995E-3</v>
      </c>
      <c r="BK18" s="307">
        <v>2.0999999999999999E-3</v>
      </c>
      <c r="BL18" s="289">
        <f t="shared" si="17"/>
        <v>1022.4574679149999</v>
      </c>
      <c r="BM18" s="874">
        <f t="shared" si="6"/>
        <v>1022.4574679149999</v>
      </c>
      <c r="BN18" s="874" t="str">
        <f t="shared" si="7"/>
        <v>-</v>
      </c>
      <c r="BO18" s="875"/>
    </row>
    <row r="19" spans="1:67">
      <c r="A19" s="309">
        <v>14</v>
      </c>
      <c r="B19" s="1426" t="s">
        <v>409</v>
      </c>
      <c r="C19" s="1427" t="s">
        <v>679</v>
      </c>
      <c r="D19" s="856" t="s">
        <v>774</v>
      </c>
      <c r="E19" s="308" t="s">
        <v>512</v>
      </c>
      <c r="F19" s="255" t="s">
        <v>546</v>
      </c>
      <c r="G19" s="479" t="s">
        <v>557</v>
      </c>
      <c r="H19" s="923">
        <v>20</v>
      </c>
      <c r="I19" s="912"/>
      <c r="J19" s="913">
        <v>14361.437</v>
      </c>
      <c r="K19" s="913">
        <v>15781.968000000001</v>
      </c>
      <c r="L19" s="146">
        <f t="shared" si="0"/>
        <v>30143.404999999999</v>
      </c>
      <c r="M19" s="877"/>
      <c r="N19" s="871"/>
      <c r="O19" s="878"/>
      <c r="P19" s="866"/>
      <c r="Q19" s="913">
        <v>13184.7</v>
      </c>
      <c r="R19" s="913">
        <v>16595.168000000001</v>
      </c>
      <c r="S19" s="146">
        <f t="shared" si="1"/>
        <v>29779.868000000002</v>
      </c>
      <c r="T19" s="877"/>
      <c r="U19" s="871"/>
      <c r="V19" s="878"/>
      <c r="W19" s="866"/>
      <c r="X19" s="871">
        <v>13425.656000000001</v>
      </c>
      <c r="Y19" s="871">
        <v>17285.291000000001</v>
      </c>
      <c r="Z19" s="259">
        <f t="shared" si="8"/>
        <v>30710.947</v>
      </c>
      <c r="AA19" s="962"/>
      <c r="AB19" s="871"/>
      <c r="AC19" s="878"/>
      <c r="AD19" s="866"/>
      <c r="AE19" s="871">
        <v>11940.842000000001</v>
      </c>
      <c r="AF19" s="871">
        <v>15468.751</v>
      </c>
      <c r="AG19" s="259">
        <f t="shared" si="9"/>
        <v>27409.593000000001</v>
      </c>
      <c r="AH19" s="962"/>
      <c r="AI19" s="871"/>
      <c r="AJ19" s="878"/>
      <c r="AK19" s="866"/>
      <c r="AL19" s="867">
        <f>AE19+(AE19*$AP$119)</f>
        <v>11964.723684000001</v>
      </c>
      <c r="AM19" s="867">
        <f>AF19+(AF19*$AP$119)</f>
        <v>15499.688502000001</v>
      </c>
      <c r="AN19" s="146">
        <f t="shared" si="2"/>
        <v>27464.412186000001</v>
      </c>
      <c r="AO19" s="871"/>
      <c r="AP19" s="871"/>
      <c r="AQ19" s="879"/>
      <c r="AR19" s="1430">
        <f>0.00214+$AU$126</f>
        <v>9.2747499999999997E-2</v>
      </c>
      <c r="AS19" s="1430">
        <f>0.00214+$AU$126</f>
        <v>9.2747499999999997E-2</v>
      </c>
      <c r="AT19" s="1430">
        <f>0.00214+$AU$126</f>
        <v>9.2747499999999997E-2</v>
      </c>
      <c r="AU19" s="263"/>
      <c r="AV19" s="282">
        <v>3.6900000000000002E-2</v>
      </c>
      <c r="AW19" s="282">
        <v>2.1000000000000001E-2</v>
      </c>
      <c r="AX19" s="282"/>
      <c r="AY19" s="282"/>
      <c r="AZ19" s="873">
        <f t="shared" ref="AZ19:AZ25" si="24">100%-BA19</f>
        <v>1</v>
      </c>
      <c r="BA19" s="873">
        <v>0</v>
      </c>
      <c r="BB19" s="873">
        <f t="shared" ref="BB19:BB25" si="25">100%-BC19</f>
        <v>1</v>
      </c>
      <c r="BC19" s="873">
        <v>0</v>
      </c>
      <c r="BD19" s="283"/>
      <c r="BE19" s="283"/>
      <c r="BF19" s="283">
        <f>IF(H19&lt;=16,15.46,IF(AND(H19&gt;=17,H19&lt;=20),18.97,IF(AND(H19&gt;=21,H19&lt;=25),23.02,IF(AND(H19&gt;=26,H19&lt;=32),28.69,IF(AND(H19&gt;=33,H19&lt;=40),35.17,IF(AND(H19&gt;=41,H19&lt;=50),43.27,IF(AND(H19&gt;=51,H19&lt;=63),53.8)))))))</f>
        <v>18.97</v>
      </c>
      <c r="BG19" s="282"/>
      <c r="BH19" s="282"/>
      <c r="BI19" s="283"/>
      <c r="BJ19" s="281">
        <v>8.3999999999999995E-3</v>
      </c>
      <c r="BK19" s="307">
        <v>2.0999999999999999E-3</v>
      </c>
      <c r="BL19" s="289">
        <f t="shared" si="17"/>
        <v>3830.2636596556354</v>
      </c>
      <c r="BM19" s="874" t="str">
        <f t="shared" si="6"/>
        <v>-</v>
      </c>
      <c r="BN19" s="874">
        <f t="shared" si="7"/>
        <v>3830.2636596556354</v>
      </c>
      <c r="BO19" s="875"/>
    </row>
    <row r="20" spans="1:67">
      <c r="A20" s="309">
        <v>15</v>
      </c>
      <c r="B20" s="1426" t="s">
        <v>409</v>
      </c>
      <c r="C20" s="1427" t="s">
        <v>1059</v>
      </c>
      <c r="D20" s="856" t="s">
        <v>773</v>
      </c>
      <c r="E20" s="308" t="s">
        <v>513</v>
      </c>
      <c r="F20" s="255" t="s">
        <v>546</v>
      </c>
      <c r="G20" s="479" t="s">
        <v>557</v>
      </c>
      <c r="H20" s="923">
        <v>16</v>
      </c>
      <c r="I20" s="912"/>
      <c r="J20" s="913">
        <v>2209.3519999999999</v>
      </c>
      <c r="K20" s="913">
        <v>2376.2930000000001</v>
      </c>
      <c r="L20" s="146">
        <f t="shared" si="0"/>
        <v>4585.6450000000004</v>
      </c>
      <c r="M20" s="877"/>
      <c r="N20" s="871"/>
      <c r="O20" s="878"/>
      <c r="P20" s="866"/>
      <c r="Q20" s="913">
        <v>3251.364</v>
      </c>
      <c r="R20" s="913">
        <v>4066.8989999999999</v>
      </c>
      <c r="S20" s="146">
        <f t="shared" si="1"/>
        <v>7318.2629999999999</v>
      </c>
      <c r="T20" s="877"/>
      <c r="U20" s="871"/>
      <c r="V20" s="878"/>
      <c r="W20" s="866"/>
      <c r="X20" s="871">
        <v>2260.1</v>
      </c>
      <c r="Y20" s="871">
        <v>2909.797</v>
      </c>
      <c r="Z20" s="259">
        <f t="shared" si="8"/>
        <v>5169.8969999999999</v>
      </c>
      <c r="AA20" s="962"/>
      <c r="AB20" s="871"/>
      <c r="AC20" s="878"/>
      <c r="AD20" s="866"/>
      <c r="AE20" s="871">
        <v>3628.8490000000002</v>
      </c>
      <c r="AF20" s="871">
        <v>4437.53</v>
      </c>
      <c r="AG20" s="259">
        <f t="shared" si="9"/>
        <v>8066.3789999999999</v>
      </c>
      <c r="AH20" s="962"/>
      <c r="AI20" s="871"/>
      <c r="AJ20" s="878"/>
      <c r="AK20" s="870"/>
      <c r="AL20" s="867">
        <f>AE20+(AE20*$AP$118)</f>
        <v>3632.4778490000003</v>
      </c>
      <c r="AM20" s="867">
        <f>AF20+(AF20*$AP$118)</f>
        <v>4441.9675299999999</v>
      </c>
      <c r="AN20" s="146">
        <f t="shared" si="2"/>
        <v>8074.4453790000007</v>
      </c>
      <c r="AO20" s="871"/>
      <c r="AP20" s="871"/>
      <c r="AQ20" s="879"/>
      <c r="AR20" s="1430">
        <f>0.00214+$AU$126</f>
        <v>9.2747499999999997E-2</v>
      </c>
      <c r="AS20" s="1430">
        <f>0.00214+$AU$126</f>
        <v>9.2747499999999997E-2</v>
      </c>
      <c r="AT20" s="1430">
        <f>0.00214+$AU$126</f>
        <v>9.2747499999999997E-2</v>
      </c>
      <c r="AU20" s="263"/>
      <c r="AV20" s="282">
        <v>3.6900000000000002E-2</v>
      </c>
      <c r="AW20" s="282">
        <v>2.1000000000000001E-2</v>
      </c>
      <c r="AX20" s="282"/>
      <c r="AY20" s="282"/>
      <c r="AZ20" s="873">
        <f t="shared" si="24"/>
        <v>1</v>
      </c>
      <c r="BA20" s="873">
        <v>0</v>
      </c>
      <c r="BB20" s="873">
        <f t="shared" si="25"/>
        <v>1</v>
      </c>
      <c r="BC20" s="873">
        <v>0</v>
      </c>
      <c r="BD20" s="283"/>
      <c r="BE20" s="283"/>
      <c r="BF20" s="283">
        <f>IF(H20&lt;=16,15.46,IF(AND(H20&gt;=17,H20&lt;=20),18.97,IF(AND(H20&gt;=21,H20&lt;=25),23.02,IF(AND(H20&gt;=26,H20&lt;=32),28.69,IF(AND(H20&gt;=33,H20&lt;=40),35.17,IF(AND(H20&gt;=41,H20&lt;=50),43.27,IF(AND(H20&gt;=51,H20&lt;=63),53.8)))))))</f>
        <v>15.46</v>
      </c>
      <c r="BG20" s="282"/>
      <c r="BH20" s="282"/>
      <c r="BI20" s="283"/>
      <c r="BJ20" s="281">
        <v>8.3999999999999995E-3</v>
      </c>
      <c r="BK20" s="307">
        <v>2.0999999999999999E-3</v>
      </c>
      <c r="BL20" s="289">
        <f t="shared" si="17"/>
        <v>1246.5060500264026</v>
      </c>
      <c r="BM20" s="874">
        <f t="shared" si="6"/>
        <v>1246.5060500264026</v>
      </c>
      <c r="BN20" s="874" t="str">
        <f t="shared" si="7"/>
        <v>-</v>
      </c>
      <c r="BO20" s="875"/>
    </row>
    <row r="21" spans="1:67">
      <c r="A21" s="309">
        <v>16</v>
      </c>
      <c r="B21" s="1426" t="s">
        <v>438</v>
      </c>
      <c r="C21" s="1427" t="s">
        <v>847</v>
      </c>
      <c r="D21" s="856" t="s">
        <v>773</v>
      </c>
      <c r="E21" s="308" t="s">
        <v>494</v>
      </c>
      <c r="F21" s="255" t="s">
        <v>546</v>
      </c>
      <c r="G21" s="479" t="s">
        <v>554</v>
      </c>
      <c r="H21" s="923">
        <v>16</v>
      </c>
      <c r="I21" s="912"/>
      <c r="J21" s="913">
        <v>2223.9589999999998</v>
      </c>
      <c r="K21" s="913">
        <v>2507.1210000000001</v>
      </c>
      <c r="L21" s="146">
        <f t="shared" si="0"/>
        <v>4731.08</v>
      </c>
      <c r="M21" s="877"/>
      <c r="N21" s="871"/>
      <c r="O21" s="878"/>
      <c r="P21" s="866"/>
      <c r="Q21" s="913">
        <v>2738.04</v>
      </c>
      <c r="R21" s="913">
        <v>3254.0540000000001</v>
      </c>
      <c r="S21" s="146">
        <f t="shared" si="1"/>
        <v>5992.0940000000001</v>
      </c>
      <c r="T21" s="877"/>
      <c r="U21" s="871"/>
      <c r="V21" s="878"/>
      <c r="W21" s="866"/>
      <c r="X21" s="871">
        <v>1986.434</v>
      </c>
      <c r="Y21" s="871">
        <v>2647.6309999999999</v>
      </c>
      <c r="Z21" s="259">
        <f t="shared" si="8"/>
        <v>4634.0649999999996</v>
      </c>
      <c r="AA21" s="962"/>
      <c r="AB21" s="871"/>
      <c r="AC21" s="878"/>
      <c r="AD21" s="866"/>
      <c r="AE21" s="871">
        <v>1904.72</v>
      </c>
      <c r="AF21" s="871">
        <v>2424.8850000000002</v>
      </c>
      <c r="AG21" s="259">
        <f t="shared" si="9"/>
        <v>4329.6050000000005</v>
      </c>
      <c r="AH21" s="962"/>
      <c r="AI21" s="871"/>
      <c r="AJ21" s="878"/>
      <c r="AK21" s="870"/>
      <c r="AL21" s="867">
        <f>AE21+(AE21*$AP$118)</f>
        <v>1906.62472</v>
      </c>
      <c r="AM21" s="867">
        <f>AF21+(AF21*$AP$118)</f>
        <v>2427.3098850000001</v>
      </c>
      <c r="AN21" s="146">
        <f t="shared" si="2"/>
        <v>4333.9346050000004</v>
      </c>
      <c r="AO21" s="871"/>
      <c r="AP21" s="871"/>
      <c r="AQ21" s="879"/>
      <c r="AR21" s="1430">
        <f>0.00214+$AU$126</f>
        <v>9.2747499999999997E-2</v>
      </c>
      <c r="AS21" s="1430">
        <f>0.00214+$AU$126</f>
        <v>9.2747499999999997E-2</v>
      </c>
      <c r="AT21" s="1430">
        <f>0.00214+$AU$126</f>
        <v>9.2747499999999997E-2</v>
      </c>
      <c r="AU21" s="263"/>
      <c r="AV21" s="282">
        <v>6.0699999999999997E-2</v>
      </c>
      <c r="AW21" s="282">
        <v>3.5099999999999999E-2</v>
      </c>
      <c r="AX21" s="282"/>
      <c r="AY21" s="282"/>
      <c r="AZ21" s="873">
        <f t="shared" si="24"/>
        <v>1</v>
      </c>
      <c r="BA21" s="873">
        <v>0</v>
      </c>
      <c r="BB21" s="873">
        <f t="shared" si="25"/>
        <v>1</v>
      </c>
      <c r="BC21" s="873">
        <v>0</v>
      </c>
      <c r="BD21" s="283"/>
      <c r="BE21" s="283"/>
      <c r="BF21" s="283">
        <f>IF(H21&lt;=16,5.64,IF(AND(H21&gt;=17,H21&lt;=20),7.02,IF(AND(H21&gt;=21,H21&lt;=25),8.32,IF(AND(H21&gt;=26,H21&lt;=32),10.14,IF(AND(H21&gt;=33,H21&lt;=40),12.22,IF(AND(H21&gt;=41,H21&lt;=50),14.82,IF(AND(H21&gt;=51,H21&lt;=63),18.2)))))))</f>
        <v>5.64</v>
      </c>
      <c r="BG21" s="263"/>
      <c r="BH21" s="263"/>
      <c r="BI21" s="288"/>
      <c r="BJ21" s="281">
        <v>8.3999999999999995E-3</v>
      </c>
      <c r="BK21" s="307">
        <v>2.0999999999999999E-3</v>
      </c>
      <c r="BL21" s="289">
        <f t="shared" si="17"/>
        <v>716.07861059723746</v>
      </c>
      <c r="BM21" s="874">
        <f t="shared" si="6"/>
        <v>716.07861059723746</v>
      </c>
      <c r="BN21" s="874" t="str">
        <f t="shared" si="7"/>
        <v>-</v>
      </c>
      <c r="BO21" s="875"/>
    </row>
    <row r="22" spans="1:67">
      <c r="A22" s="309">
        <v>17</v>
      </c>
      <c r="B22" s="1426" t="s">
        <v>460</v>
      </c>
      <c r="C22" s="1427" t="s">
        <v>872</v>
      </c>
      <c r="D22" s="856" t="s">
        <v>774</v>
      </c>
      <c r="E22" s="308" t="s">
        <v>492</v>
      </c>
      <c r="F22" s="255" t="s">
        <v>546</v>
      </c>
      <c r="G22" s="479" t="s">
        <v>554</v>
      </c>
      <c r="H22" s="923">
        <v>6</v>
      </c>
      <c r="I22" s="912"/>
      <c r="J22" s="913">
        <v>1290.9829999999999</v>
      </c>
      <c r="K22" s="913">
        <v>1323.7929999999999</v>
      </c>
      <c r="L22" s="146">
        <f t="shared" si="0"/>
        <v>2614.7759999999998</v>
      </c>
      <c r="M22" s="877"/>
      <c r="N22" s="871"/>
      <c r="O22" s="878"/>
      <c r="P22" s="866"/>
      <c r="Q22" s="913">
        <v>991.06299999999999</v>
      </c>
      <c r="R22" s="913">
        <v>1189.4159999999999</v>
      </c>
      <c r="S22" s="146">
        <f t="shared" si="1"/>
        <v>2180.4789999999998</v>
      </c>
      <c r="T22" s="877"/>
      <c r="U22" s="871"/>
      <c r="V22" s="878"/>
      <c r="W22" s="866"/>
      <c r="X22" s="871">
        <v>480.49099999999999</v>
      </c>
      <c r="Y22" s="871">
        <v>550.09299999999996</v>
      </c>
      <c r="Z22" s="259">
        <f t="shared" si="8"/>
        <v>1030.5839999999998</v>
      </c>
      <c r="AA22" s="962"/>
      <c r="AB22" s="871"/>
      <c r="AC22" s="878"/>
      <c r="AD22" s="866"/>
      <c r="AE22" s="871">
        <v>453.74099999999999</v>
      </c>
      <c r="AF22" s="871">
        <v>545.23</v>
      </c>
      <c r="AG22" s="259">
        <f t="shared" si="9"/>
        <v>998.971</v>
      </c>
      <c r="AH22" s="962"/>
      <c r="AI22" s="871"/>
      <c r="AJ22" s="878"/>
      <c r="AK22" s="866"/>
      <c r="AL22" s="867">
        <f t="shared" ref="AL22:AM25" si="26">AE22+(AE22*$AP$119)</f>
        <v>454.648482</v>
      </c>
      <c r="AM22" s="867">
        <f t="shared" si="26"/>
        <v>546.32046000000003</v>
      </c>
      <c r="AN22" s="146">
        <f t="shared" si="2"/>
        <v>1000.968942</v>
      </c>
      <c r="AO22" s="871"/>
      <c r="AP22" s="871"/>
      <c r="AQ22" s="879"/>
      <c r="AR22" s="1430">
        <f>0.00214+$AU$126</f>
        <v>9.2747499999999997E-2</v>
      </c>
      <c r="AS22" s="1430">
        <f>0.00214+$AU$126</f>
        <v>9.2747499999999997E-2</v>
      </c>
      <c r="AT22" s="1430">
        <f>0.00214+$AU$126</f>
        <v>9.2747499999999997E-2</v>
      </c>
      <c r="AU22" s="263"/>
      <c r="AV22" s="282">
        <v>6.0699999999999997E-2</v>
      </c>
      <c r="AW22" s="282">
        <v>3.5099999999999999E-2</v>
      </c>
      <c r="AX22" s="282"/>
      <c r="AY22" s="282"/>
      <c r="AZ22" s="873">
        <f t="shared" si="24"/>
        <v>1</v>
      </c>
      <c r="BA22" s="873">
        <v>0</v>
      </c>
      <c r="BB22" s="873">
        <f t="shared" si="25"/>
        <v>1</v>
      </c>
      <c r="BC22" s="873">
        <v>0</v>
      </c>
      <c r="BD22" s="283"/>
      <c r="BE22" s="283"/>
      <c r="BF22" s="283">
        <f>IF(H22&lt;=16,5.64,IF(AND(H22&gt;=17,H22&lt;=20),7.02,IF(AND(H22&gt;=21,H22&lt;=25),8.32,IF(AND(H22&gt;=26,H22&lt;=32),10.14,IF(AND(H22&gt;=33,H22&lt;=40),12.22,IF(AND(H22&gt;=41,H22&lt;=50),14.82,IF(AND(H22&gt;=51,H22&lt;=63),18.2)))))))</f>
        <v>5.64</v>
      </c>
      <c r="BG22" s="263"/>
      <c r="BH22" s="263"/>
      <c r="BI22" s="288"/>
      <c r="BJ22" s="281">
        <v>8.3999999999999995E-3</v>
      </c>
      <c r="BK22" s="307">
        <v>2.0999999999999999E-3</v>
      </c>
      <c r="BL22" s="289">
        <f t="shared" si="17"/>
        <v>217.80055184254499</v>
      </c>
      <c r="BM22" s="874" t="str">
        <f t="shared" si="6"/>
        <v>-</v>
      </c>
      <c r="BN22" s="874">
        <f t="shared" si="7"/>
        <v>217.80055184254499</v>
      </c>
      <c r="BO22" s="875"/>
    </row>
    <row r="23" spans="1:67">
      <c r="A23" s="309">
        <v>18</v>
      </c>
      <c r="B23" s="1426" t="s">
        <v>460</v>
      </c>
      <c r="C23" s="1427" t="s">
        <v>848</v>
      </c>
      <c r="D23" s="856" t="s">
        <v>774</v>
      </c>
      <c r="E23" s="308" t="s">
        <v>493</v>
      </c>
      <c r="F23" s="255" t="s">
        <v>546</v>
      </c>
      <c r="G23" s="479" t="s">
        <v>553</v>
      </c>
      <c r="H23" s="923">
        <v>6</v>
      </c>
      <c r="I23" s="912"/>
      <c r="J23" s="913">
        <v>286.48500000000001</v>
      </c>
      <c r="K23" s="913">
        <v>284.27699999999999</v>
      </c>
      <c r="L23" s="146">
        <f t="shared" si="0"/>
        <v>570.76199999999994</v>
      </c>
      <c r="M23" s="877"/>
      <c r="N23" s="871"/>
      <c r="O23" s="878"/>
      <c r="P23" s="866"/>
      <c r="Q23" s="913">
        <v>260.98200000000003</v>
      </c>
      <c r="R23" s="913">
        <v>296.61399999999998</v>
      </c>
      <c r="S23" s="146">
        <f t="shared" si="1"/>
        <v>557.596</v>
      </c>
      <c r="T23" s="877"/>
      <c r="U23" s="871"/>
      <c r="V23" s="878"/>
      <c r="W23" s="866"/>
      <c r="X23" s="871">
        <v>199.75399999999999</v>
      </c>
      <c r="Y23" s="871">
        <v>238.24799999999999</v>
      </c>
      <c r="Z23" s="259">
        <f t="shared" si="8"/>
        <v>438.00199999999995</v>
      </c>
      <c r="AA23" s="962"/>
      <c r="AB23" s="871"/>
      <c r="AC23" s="878"/>
      <c r="AD23" s="866"/>
      <c r="AE23" s="871">
        <v>105.96899999999999</v>
      </c>
      <c r="AF23" s="871">
        <v>130.74600000000001</v>
      </c>
      <c r="AG23" s="259">
        <f t="shared" si="9"/>
        <v>236.715</v>
      </c>
      <c r="AH23" s="962"/>
      <c r="AI23" s="871"/>
      <c r="AJ23" s="878"/>
      <c r="AK23" s="866"/>
      <c r="AL23" s="867">
        <f t="shared" si="26"/>
        <v>106.180938</v>
      </c>
      <c r="AM23" s="867">
        <f t="shared" si="26"/>
        <v>131.00749200000001</v>
      </c>
      <c r="AN23" s="146">
        <f t="shared" si="2"/>
        <v>237.18843000000001</v>
      </c>
      <c r="AO23" s="871"/>
      <c r="AP23" s="871"/>
      <c r="AQ23" s="879"/>
      <c r="AR23" s="1430">
        <f>0.00214+$AU$126</f>
        <v>9.2747499999999997E-2</v>
      </c>
      <c r="AS23" s="1430">
        <f>0.00214+$AU$126</f>
        <v>9.2747499999999997E-2</v>
      </c>
      <c r="AT23" s="1430">
        <f>0.00214+$AU$126</f>
        <v>9.2747499999999997E-2</v>
      </c>
      <c r="AU23" s="282">
        <v>7.7200000000000005E-2</v>
      </c>
      <c r="AV23" s="282"/>
      <c r="AW23" s="282"/>
      <c r="AX23" s="282"/>
      <c r="AY23" s="282"/>
      <c r="AZ23" s="873">
        <f t="shared" si="24"/>
        <v>1</v>
      </c>
      <c r="BA23" s="873">
        <v>0</v>
      </c>
      <c r="BB23" s="873">
        <f t="shared" si="25"/>
        <v>1</v>
      </c>
      <c r="BC23" s="873">
        <v>0</v>
      </c>
      <c r="BD23" s="283"/>
      <c r="BE23" s="283"/>
      <c r="BF23" s="283">
        <f>IF(H23&lt;=16,3.75,IF(AND(H23&gt;=17,H23&lt;=20),4.42,IF(AND(H23&gt;=21,H23&lt;=25),5.07,IF(AND(H23&gt;=26,H23&lt;=32),5.98,IF(AND(H23&gt;=33,H23&lt;=40),7.02,IF(AND(H23&gt;=41,H23&lt;=50),8.32,IF(AND(H23&gt;=51,H23&lt;=63),10.01)))))))</f>
        <v>3.75</v>
      </c>
      <c r="BG23" s="263"/>
      <c r="BH23" s="263"/>
      <c r="BI23" s="288"/>
      <c r="BJ23" s="281">
        <v>8.3999999999999995E-3</v>
      </c>
      <c r="BK23" s="307">
        <v>2.0999999999999999E-3</v>
      </c>
      <c r="BL23" s="289">
        <f t="shared" si="17"/>
        <v>87.800059222425006</v>
      </c>
      <c r="BM23" s="874" t="str">
        <f t="shared" si="6"/>
        <v>-</v>
      </c>
      <c r="BN23" s="874">
        <f t="shared" si="7"/>
        <v>87.800059222425006</v>
      </c>
      <c r="BO23" s="875"/>
    </row>
    <row r="24" spans="1:67">
      <c r="A24" s="309">
        <v>19</v>
      </c>
      <c r="B24" s="1426" t="s">
        <v>410</v>
      </c>
      <c r="C24" s="1427" t="s">
        <v>861</v>
      </c>
      <c r="D24" s="856" t="s">
        <v>774</v>
      </c>
      <c r="E24" s="308" t="s">
        <v>489</v>
      </c>
      <c r="F24" s="255" t="s">
        <v>546</v>
      </c>
      <c r="G24" s="479" t="s">
        <v>553</v>
      </c>
      <c r="H24" s="923">
        <v>16</v>
      </c>
      <c r="I24" s="915"/>
      <c r="J24" s="913">
        <v>414.36799999999999</v>
      </c>
      <c r="K24" s="913">
        <v>308.745</v>
      </c>
      <c r="L24" s="146">
        <f t="shared" si="0"/>
        <v>723.11300000000006</v>
      </c>
      <c r="M24" s="877"/>
      <c r="N24" s="871"/>
      <c r="O24" s="878"/>
      <c r="P24" s="866"/>
      <c r="Q24" s="913">
        <v>251.86799999999999</v>
      </c>
      <c r="R24" s="913">
        <v>172.74700000000001</v>
      </c>
      <c r="S24" s="146">
        <f t="shared" si="1"/>
        <v>424.61500000000001</v>
      </c>
      <c r="T24" s="877"/>
      <c r="U24" s="871"/>
      <c r="V24" s="878"/>
      <c r="W24" s="866"/>
      <c r="X24" s="871">
        <v>332.791</v>
      </c>
      <c r="Y24" s="871">
        <v>234.983</v>
      </c>
      <c r="Z24" s="259">
        <f t="shared" si="8"/>
        <v>567.774</v>
      </c>
      <c r="AA24" s="962"/>
      <c r="AB24" s="871"/>
      <c r="AC24" s="878"/>
      <c r="AD24" s="866"/>
      <c r="AE24" s="871">
        <v>284.13299999999998</v>
      </c>
      <c r="AF24" s="871">
        <v>148.20400000000001</v>
      </c>
      <c r="AG24" s="259">
        <f t="shared" si="9"/>
        <v>432.33699999999999</v>
      </c>
      <c r="AH24" s="962"/>
      <c r="AI24" s="871"/>
      <c r="AJ24" s="878"/>
      <c r="AK24" s="866"/>
      <c r="AL24" s="867">
        <f t="shared" si="26"/>
        <v>284.70126599999998</v>
      </c>
      <c r="AM24" s="867">
        <f t="shared" si="26"/>
        <v>148.50040800000002</v>
      </c>
      <c r="AN24" s="146">
        <f t="shared" si="2"/>
        <v>433.20167400000003</v>
      </c>
      <c r="AO24" s="871"/>
      <c r="AP24" s="871"/>
      <c r="AQ24" s="879"/>
      <c r="AR24" s="1430">
        <f>0.00214+$AU$126</f>
        <v>9.2747499999999997E-2</v>
      </c>
      <c r="AS24" s="1430">
        <f>0.00214+$AU$126</f>
        <v>9.2747499999999997E-2</v>
      </c>
      <c r="AT24" s="1430">
        <f>0.00214+$AU$126</f>
        <v>9.2747499999999997E-2</v>
      </c>
      <c r="AU24" s="282">
        <v>7.7200000000000005E-2</v>
      </c>
      <c r="AV24" s="282"/>
      <c r="AW24" s="282"/>
      <c r="AX24" s="282"/>
      <c r="AY24" s="282"/>
      <c r="AZ24" s="873">
        <f t="shared" si="24"/>
        <v>1</v>
      </c>
      <c r="BA24" s="873">
        <v>0</v>
      </c>
      <c r="BB24" s="873">
        <f t="shared" si="25"/>
        <v>1</v>
      </c>
      <c r="BC24" s="873">
        <v>0</v>
      </c>
      <c r="BD24" s="283"/>
      <c r="BE24" s="283"/>
      <c r="BF24" s="283">
        <f>IF(H24&lt;=16,3.75,IF(AND(H24&gt;=17,H24&lt;=20),4.42,IF(AND(H24&gt;=21,H24&lt;=25),5.07,IF(AND(H24&gt;=26,H24&lt;=32),5.98,IF(AND(H24&gt;=33,H24&lt;=40),7.02,IF(AND(H24&gt;=41,H24&lt;=50),8.32,IF(AND(H24&gt;=51,H24&lt;=63),10.01)))))))</f>
        <v>3.75</v>
      </c>
      <c r="BG24" s="263"/>
      <c r="BH24" s="263"/>
      <c r="BI24" s="288"/>
      <c r="BJ24" s="281">
        <v>8.3999999999999995E-3</v>
      </c>
      <c r="BK24" s="307">
        <v>2.0999999999999999E-3</v>
      </c>
      <c r="BL24" s="289">
        <f t="shared" si="17"/>
        <v>123.170159069115</v>
      </c>
      <c r="BM24" s="874" t="str">
        <f t="shared" si="6"/>
        <v>-</v>
      </c>
      <c r="BN24" s="874">
        <f t="shared" si="7"/>
        <v>123.170159069115</v>
      </c>
      <c r="BO24" s="875"/>
    </row>
    <row r="25" spans="1:67">
      <c r="A25" s="309">
        <v>20</v>
      </c>
      <c r="B25" s="1426" t="s">
        <v>410</v>
      </c>
      <c r="C25" s="1427" t="s">
        <v>666</v>
      </c>
      <c r="D25" s="856" t="s">
        <v>774</v>
      </c>
      <c r="E25" s="308" t="s">
        <v>667</v>
      </c>
      <c r="F25" s="255" t="s">
        <v>546</v>
      </c>
      <c r="G25" s="479" t="s">
        <v>553</v>
      </c>
      <c r="H25" s="923">
        <v>6</v>
      </c>
      <c r="I25" s="912"/>
      <c r="J25" s="913">
        <v>30.18</v>
      </c>
      <c r="K25" s="913">
        <v>30.741</v>
      </c>
      <c r="L25" s="146">
        <f t="shared" si="0"/>
        <v>60.920999999999999</v>
      </c>
      <c r="M25" s="877"/>
      <c r="N25" s="871"/>
      <c r="O25" s="878"/>
      <c r="P25" s="866"/>
      <c r="Q25" s="913">
        <v>33.71</v>
      </c>
      <c r="R25" s="913">
        <v>39.643000000000001</v>
      </c>
      <c r="S25" s="146">
        <f t="shared" si="1"/>
        <v>73.353000000000009</v>
      </c>
      <c r="T25" s="877"/>
      <c r="U25" s="871"/>
      <c r="V25" s="878"/>
      <c r="W25" s="866"/>
      <c r="X25" s="871">
        <v>31.356000000000002</v>
      </c>
      <c r="Y25" s="871">
        <v>37.877000000000002</v>
      </c>
      <c r="Z25" s="259">
        <f t="shared" si="8"/>
        <v>69.233000000000004</v>
      </c>
      <c r="AA25" s="962"/>
      <c r="AB25" s="871"/>
      <c r="AC25" s="878"/>
      <c r="AD25" s="866"/>
      <c r="AE25" s="871">
        <v>28.693000000000001</v>
      </c>
      <c r="AF25" s="871">
        <v>33.863</v>
      </c>
      <c r="AG25" s="259">
        <f t="shared" si="9"/>
        <v>62.555999999999997</v>
      </c>
      <c r="AH25" s="962"/>
      <c r="AI25" s="871"/>
      <c r="AJ25" s="878"/>
      <c r="AK25" s="866"/>
      <c r="AL25" s="867">
        <f t="shared" si="26"/>
        <v>28.750386000000002</v>
      </c>
      <c r="AM25" s="867">
        <f t="shared" si="26"/>
        <v>33.930726</v>
      </c>
      <c r="AN25" s="146">
        <f t="shared" si="2"/>
        <v>62.681111999999999</v>
      </c>
      <c r="AO25" s="871"/>
      <c r="AP25" s="871"/>
      <c r="AQ25" s="879"/>
      <c r="AR25" s="1430">
        <f>0.00214+$AU$126</f>
        <v>9.2747499999999997E-2</v>
      </c>
      <c r="AS25" s="1430">
        <f>0.00214+$AU$126</f>
        <v>9.2747499999999997E-2</v>
      </c>
      <c r="AT25" s="1430">
        <f>0.00214+$AU$126</f>
        <v>9.2747499999999997E-2</v>
      </c>
      <c r="AU25" s="282">
        <v>7.7200000000000005E-2</v>
      </c>
      <c r="AV25" s="282"/>
      <c r="AW25" s="282"/>
      <c r="AX25" s="282"/>
      <c r="AY25" s="282"/>
      <c r="AZ25" s="873">
        <f t="shared" si="24"/>
        <v>1</v>
      </c>
      <c r="BA25" s="873">
        <v>0</v>
      </c>
      <c r="BB25" s="873">
        <f t="shared" si="25"/>
        <v>1</v>
      </c>
      <c r="BC25" s="873">
        <v>0</v>
      </c>
      <c r="BD25" s="283"/>
      <c r="BE25" s="283"/>
      <c r="BF25" s="283">
        <f>IF(H25&lt;=16,3.75,IF(AND(H25&gt;=17,H25&lt;=20),4.42,IF(AND(H25&gt;=21,H25&lt;=25),5.07,IF(AND(H25&gt;=26,H25&lt;=32),5.98,IF(AND(H25&gt;=33,H25&lt;=40),7.02,IF(AND(H25&gt;=41,H25&lt;=50),8.32,IF(AND(H25&gt;=51,H25&lt;=63),10.01)))))))</f>
        <v>3.75</v>
      </c>
      <c r="BG25" s="263"/>
      <c r="BH25" s="263"/>
      <c r="BI25" s="288"/>
      <c r="BJ25" s="281">
        <v>8.3999999999999995E-3</v>
      </c>
      <c r="BK25" s="307">
        <v>2.0999999999999999E-3</v>
      </c>
      <c r="BL25" s="289">
        <f t="shared" si="17"/>
        <v>56.310649957620001</v>
      </c>
      <c r="BM25" s="874" t="str">
        <f t="shared" si="6"/>
        <v>-</v>
      </c>
      <c r="BN25" s="874">
        <f t="shared" si="7"/>
        <v>56.310649957620001</v>
      </c>
      <c r="BO25" s="875"/>
    </row>
    <row r="26" spans="1:67">
      <c r="A26" s="309">
        <v>21</v>
      </c>
      <c r="B26" s="1426" t="s">
        <v>413</v>
      </c>
      <c r="C26" s="1427" t="s">
        <v>850</v>
      </c>
      <c r="D26" s="856" t="s">
        <v>773</v>
      </c>
      <c r="E26" s="308" t="s">
        <v>500</v>
      </c>
      <c r="F26" s="255" t="s">
        <v>546</v>
      </c>
      <c r="G26" s="479" t="s">
        <v>557</v>
      </c>
      <c r="H26" s="923">
        <v>32</v>
      </c>
      <c r="I26" s="912"/>
      <c r="J26" s="913">
        <v>17058.577000000001</v>
      </c>
      <c r="K26" s="913">
        <v>17127.87</v>
      </c>
      <c r="L26" s="146">
        <f t="shared" si="0"/>
        <v>34186.447</v>
      </c>
      <c r="M26" s="877"/>
      <c r="N26" s="871"/>
      <c r="O26" s="878"/>
      <c r="P26" s="866"/>
      <c r="Q26" s="913">
        <v>11428.666999999999</v>
      </c>
      <c r="R26" s="913">
        <v>12948.339</v>
      </c>
      <c r="S26" s="146">
        <f t="shared" si="1"/>
        <v>24377.006000000001</v>
      </c>
      <c r="T26" s="877"/>
      <c r="U26" s="871"/>
      <c r="V26" s="878"/>
      <c r="W26" s="866"/>
      <c r="X26" s="871">
        <v>13175.42</v>
      </c>
      <c r="Y26" s="871">
        <v>16381.575999999999</v>
      </c>
      <c r="Z26" s="259">
        <f t="shared" si="8"/>
        <v>29556.995999999999</v>
      </c>
      <c r="AA26" s="962"/>
      <c r="AB26" s="871"/>
      <c r="AC26" s="878"/>
      <c r="AD26" s="866"/>
      <c r="AE26" s="871">
        <v>13646.016</v>
      </c>
      <c r="AF26" s="871">
        <v>14890.929</v>
      </c>
      <c r="AG26" s="259">
        <f t="shared" si="9"/>
        <v>28536.945</v>
      </c>
      <c r="AH26" s="962"/>
      <c r="AI26" s="871"/>
      <c r="AJ26" s="878"/>
      <c r="AK26" s="870"/>
      <c r="AL26" s="867">
        <f>AE26+(AE26*$AP$118)</f>
        <v>13659.662016</v>
      </c>
      <c r="AM26" s="867">
        <f>AF26+(AF26*$AP$118)</f>
        <v>14905.819928999999</v>
      </c>
      <c r="AN26" s="146">
        <f t="shared" si="2"/>
        <v>28565.481945</v>
      </c>
      <c r="AO26" s="871"/>
      <c r="AP26" s="871"/>
      <c r="AQ26" s="879"/>
      <c r="AR26" s="1430">
        <f>0.00214+$AU$126</f>
        <v>9.2747499999999997E-2</v>
      </c>
      <c r="AS26" s="1430">
        <f>0.00214+$AU$126</f>
        <v>9.2747499999999997E-2</v>
      </c>
      <c r="AT26" s="1430">
        <f>0.00214+$AU$126</f>
        <v>9.2747499999999997E-2</v>
      </c>
      <c r="AU26" s="263"/>
      <c r="AV26" s="282">
        <v>3.6900000000000002E-2</v>
      </c>
      <c r="AW26" s="282">
        <v>2.1000000000000001E-2</v>
      </c>
      <c r="AX26" s="282"/>
      <c r="AY26" s="282"/>
      <c r="AZ26" s="873">
        <f t="shared" ref="AZ26:AZ36" si="27">100%-BA26</f>
        <v>1</v>
      </c>
      <c r="BA26" s="873">
        <v>0</v>
      </c>
      <c r="BB26" s="873">
        <f t="shared" ref="BB26:BB36" si="28">100%-BC26</f>
        <v>1</v>
      </c>
      <c r="BC26" s="873">
        <v>0</v>
      </c>
      <c r="BD26" s="283"/>
      <c r="BE26" s="283"/>
      <c r="BF26" s="283">
        <f>IF(H26&lt;=16,15.46,IF(AND(H26&gt;=17,H26&lt;=20),18.97,IF(AND(H26&gt;=21,H26&lt;=25),23.02,IF(AND(H26&gt;=26,H26&lt;=32),28.69,IF(AND(H26&gt;=33,H26&lt;=40),35.17,IF(AND(H26&gt;=41,H26&lt;=50),43.27,IF(AND(H26&gt;=51,H26&lt;=63),53.8)))))))</f>
        <v>28.69</v>
      </c>
      <c r="BG26" s="282"/>
      <c r="BH26" s="282"/>
      <c r="BI26" s="283"/>
      <c r="BJ26" s="281">
        <v>8.3999999999999995E-3</v>
      </c>
      <c r="BK26" s="307">
        <v>2.0999999999999999E-3</v>
      </c>
      <c r="BL26" s="289">
        <f t="shared" si="17"/>
        <v>4110.6583440157874</v>
      </c>
      <c r="BM26" s="874">
        <f t="shared" si="6"/>
        <v>4110.6583440157874</v>
      </c>
      <c r="BN26" s="874" t="str">
        <f t="shared" si="7"/>
        <v>-</v>
      </c>
      <c r="BO26" s="875"/>
    </row>
    <row r="27" spans="1:67">
      <c r="A27" s="309">
        <v>22</v>
      </c>
      <c r="B27" s="1426" t="s">
        <v>410</v>
      </c>
      <c r="C27" s="1427" t="s">
        <v>1058</v>
      </c>
      <c r="D27" s="856" t="s">
        <v>774</v>
      </c>
      <c r="E27" s="308" t="s">
        <v>499</v>
      </c>
      <c r="F27" s="255" t="s">
        <v>546</v>
      </c>
      <c r="G27" s="479" t="s">
        <v>554</v>
      </c>
      <c r="H27" s="923">
        <v>16</v>
      </c>
      <c r="I27" s="912"/>
      <c r="J27" s="913">
        <v>606.65</v>
      </c>
      <c r="K27" s="913">
        <v>505.64100000000002</v>
      </c>
      <c r="L27" s="146">
        <f t="shared" si="0"/>
        <v>1112.2909999999999</v>
      </c>
      <c r="M27" s="877"/>
      <c r="N27" s="871"/>
      <c r="O27" s="878"/>
      <c r="P27" s="866"/>
      <c r="Q27" s="913">
        <v>555.97400000000005</v>
      </c>
      <c r="R27" s="913">
        <v>563.07799999999997</v>
      </c>
      <c r="S27" s="146">
        <f t="shared" si="1"/>
        <v>1119.0520000000001</v>
      </c>
      <c r="T27" s="877"/>
      <c r="U27" s="871"/>
      <c r="V27" s="878"/>
      <c r="W27" s="866"/>
      <c r="X27" s="871">
        <v>571.32100000000003</v>
      </c>
      <c r="Y27" s="871">
        <v>608.00099999999998</v>
      </c>
      <c r="Z27" s="259">
        <f t="shared" si="8"/>
        <v>1179.3220000000001</v>
      </c>
      <c r="AA27" s="962"/>
      <c r="AB27" s="871"/>
      <c r="AC27" s="878"/>
      <c r="AD27" s="866"/>
      <c r="AE27" s="871">
        <v>588.01300000000003</v>
      </c>
      <c r="AF27" s="871">
        <v>619.65800000000002</v>
      </c>
      <c r="AG27" s="259">
        <f t="shared" si="9"/>
        <v>1207.671</v>
      </c>
      <c r="AH27" s="962"/>
      <c r="AI27" s="871"/>
      <c r="AJ27" s="878"/>
      <c r="AK27" s="866"/>
      <c r="AL27" s="867">
        <f>AE27+(AE27*$AP$119)</f>
        <v>589.18902600000001</v>
      </c>
      <c r="AM27" s="867">
        <f>AF27+(AF27*$AP$119)</f>
        <v>620.89731600000005</v>
      </c>
      <c r="AN27" s="146">
        <f t="shared" si="2"/>
        <v>1210.0863420000001</v>
      </c>
      <c r="AO27" s="871"/>
      <c r="AP27" s="871"/>
      <c r="AQ27" s="879"/>
      <c r="AR27" s="1430">
        <f>0.00214+$AU$126</f>
        <v>9.2747499999999997E-2</v>
      </c>
      <c r="AS27" s="1430">
        <f>0.00214+$AU$126</f>
        <v>9.2747499999999997E-2</v>
      </c>
      <c r="AT27" s="1430">
        <f>0.00214+$AU$126</f>
        <v>9.2747499999999997E-2</v>
      </c>
      <c r="AU27" s="263"/>
      <c r="AV27" s="282">
        <v>6.0699999999999997E-2</v>
      </c>
      <c r="AW27" s="282">
        <v>3.5099999999999999E-2</v>
      </c>
      <c r="AX27" s="282"/>
      <c r="AY27" s="282"/>
      <c r="AZ27" s="873">
        <f t="shared" si="27"/>
        <v>1</v>
      </c>
      <c r="BA27" s="873">
        <v>0</v>
      </c>
      <c r="BB27" s="873">
        <f t="shared" si="28"/>
        <v>1</v>
      </c>
      <c r="BC27" s="873">
        <v>0</v>
      </c>
      <c r="BD27" s="283"/>
      <c r="BE27" s="283"/>
      <c r="BF27" s="283">
        <f t="shared" ref="BF27:BF33" si="29">IF(H27&lt;=16,5.64,IF(AND(H27&gt;=17,H27&lt;=20),7.02,IF(AND(H27&gt;=21,H27&lt;=25),8.32,IF(AND(H27&gt;=26,H27&lt;=32),10.14,IF(AND(H27&gt;=33,H27&lt;=40),12.22,IF(AND(H27&gt;=41,H27&lt;=50),14.82,IF(AND(H27&gt;=51,H27&lt;=63),18.2)))))))</f>
        <v>5.64</v>
      </c>
      <c r="BG27" s="263"/>
      <c r="BH27" s="263"/>
      <c r="BI27" s="288"/>
      <c r="BJ27" s="281">
        <v>8.3999999999999995E-3</v>
      </c>
      <c r="BK27" s="307">
        <v>2.0999999999999999E-3</v>
      </c>
      <c r="BL27" s="289">
        <f t="shared" si="17"/>
        <v>250.17565926544498</v>
      </c>
      <c r="BM27" s="874" t="str">
        <f t="shared" si="6"/>
        <v>-</v>
      </c>
      <c r="BN27" s="874">
        <f t="shared" si="7"/>
        <v>250.17565926544498</v>
      </c>
      <c r="BO27" s="875"/>
    </row>
    <row r="28" spans="1:67">
      <c r="A28" s="309">
        <v>23</v>
      </c>
      <c r="B28" s="1426" t="s">
        <v>410</v>
      </c>
      <c r="C28" s="1427" t="s">
        <v>860</v>
      </c>
      <c r="D28" s="856" t="s">
        <v>774</v>
      </c>
      <c r="E28" s="308" t="s">
        <v>498</v>
      </c>
      <c r="F28" s="255" t="s">
        <v>546</v>
      </c>
      <c r="G28" s="479" t="s">
        <v>554</v>
      </c>
      <c r="H28" s="923">
        <v>16</v>
      </c>
      <c r="I28" s="912"/>
      <c r="J28" s="913">
        <v>934.81200000000001</v>
      </c>
      <c r="K28" s="913">
        <v>930.58199999999999</v>
      </c>
      <c r="L28" s="146">
        <f t="shared" si="0"/>
        <v>1865.394</v>
      </c>
      <c r="M28" s="877"/>
      <c r="N28" s="871"/>
      <c r="O28" s="878"/>
      <c r="P28" s="866"/>
      <c r="Q28" s="913">
        <v>699.27700000000004</v>
      </c>
      <c r="R28" s="913">
        <v>815.95799999999997</v>
      </c>
      <c r="S28" s="146">
        <f t="shared" si="1"/>
        <v>1515.2350000000001</v>
      </c>
      <c r="T28" s="877"/>
      <c r="U28" s="871"/>
      <c r="V28" s="878"/>
      <c r="W28" s="866"/>
      <c r="X28" s="871">
        <v>418.673</v>
      </c>
      <c r="Y28" s="871">
        <v>508.03</v>
      </c>
      <c r="Z28" s="259">
        <f t="shared" si="8"/>
        <v>926.70299999999997</v>
      </c>
      <c r="AA28" s="962"/>
      <c r="AB28" s="871"/>
      <c r="AC28" s="878"/>
      <c r="AD28" s="866"/>
      <c r="AE28" s="871">
        <v>510.82100000000003</v>
      </c>
      <c r="AF28" s="871">
        <v>611.34699999999998</v>
      </c>
      <c r="AG28" s="259">
        <f t="shared" si="9"/>
        <v>1122.1680000000001</v>
      </c>
      <c r="AH28" s="962"/>
      <c r="AI28" s="871"/>
      <c r="AJ28" s="878"/>
      <c r="AK28" s="866"/>
      <c r="AL28" s="867">
        <f>AE28+(AE28*$AP$119)</f>
        <v>511.84264200000001</v>
      </c>
      <c r="AM28" s="867">
        <f>AF28+(AF28*$AP$119)</f>
        <v>612.56969400000003</v>
      </c>
      <c r="AN28" s="146">
        <f t="shared" si="2"/>
        <v>1124.4123360000001</v>
      </c>
      <c r="AO28" s="871"/>
      <c r="AP28" s="871"/>
      <c r="AQ28" s="879"/>
      <c r="AR28" s="1430">
        <f>0.00214+$AU$126</f>
        <v>9.2747499999999997E-2</v>
      </c>
      <c r="AS28" s="1430">
        <f>0.00214+$AU$126</f>
        <v>9.2747499999999997E-2</v>
      </c>
      <c r="AT28" s="1430">
        <f>0.00214+$AU$126</f>
        <v>9.2747499999999997E-2</v>
      </c>
      <c r="AU28" s="263"/>
      <c r="AV28" s="282">
        <v>6.0699999999999997E-2</v>
      </c>
      <c r="AW28" s="282">
        <v>3.5099999999999999E-2</v>
      </c>
      <c r="AX28" s="282"/>
      <c r="AY28" s="282"/>
      <c r="AZ28" s="873">
        <f t="shared" si="27"/>
        <v>1</v>
      </c>
      <c r="BA28" s="873">
        <v>0</v>
      </c>
      <c r="BB28" s="873">
        <f t="shared" si="28"/>
        <v>1</v>
      </c>
      <c r="BC28" s="873">
        <v>0</v>
      </c>
      <c r="BD28" s="283"/>
      <c r="BE28" s="283"/>
      <c r="BF28" s="283">
        <f t="shared" si="29"/>
        <v>5.64</v>
      </c>
      <c r="BG28" s="263"/>
      <c r="BH28" s="263"/>
      <c r="BI28" s="288"/>
      <c r="BJ28" s="281">
        <v>8.3999999999999995E-3</v>
      </c>
      <c r="BK28" s="307">
        <v>2.0999999999999999E-3</v>
      </c>
      <c r="BL28" s="289">
        <f t="shared" si="17"/>
        <v>236.34280728995998</v>
      </c>
      <c r="BM28" s="874" t="str">
        <f t="shared" si="6"/>
        <v>-</v>
      </c>
      <c r="BN28" s="874">
        <f t="shared" si="7"/>
        <v>236.34280728995998</v>
      </c>
      <c r="BO28" s="875"/>
    </row>
    <row r="29" spans="1:67">
      <c r="A29" s="309">
        <v>24</v>
      </c>
      <c r="B29" s="1426" t="s">
        <v>471</v>
      </c>
      <c r="C29" s="1427" t="s">
        <v>849</v>
      </c>
      <c r="D29" s="856" t="s">
        <v>773</v>
      </c>
      <c r="E29" s="308" t="s">
        <v>496</v>
      </c>
      <c r="F29" s="255" t="s">
        <v>546</v>
      </c>
      <c r="G29" s="479" t="s">
        <v>554</v>
      </c>
      <c r="H29" s="923">
        <v>10</v>
      </c>
      <c r="I29" s="912"/>
      <c r="J29" s="913">
        <v>492.74799999999999</v>
      </c>
      <c r="K29" s="913">
        <v>493.66</v>
      </c>
      <c r="L29" s="146">
        <f t="shared" si="0"/>
        <v>986.40800000000002</v>
      </c>
      <c r="M29" s="877"/>
      <c r="N29" s="871"/>
      <c r="O29" s="878"/>
      <c r="P29" s="866"/>
      <c r="Q29" s="913">
        <v>385.79300000000001</v>
      </c>
      <c r="R29" s="913">
        <v>460.09699999999998</v>
      </c>
      <c r="S29" s="146">
        <f t="shared" si="1"/>
        <v>845.89</v>
      </c>
      <c r="T29" s="877"/>
      <c r="U29" s="871"/>
      <c r="V29" s="878"/>
      <c r="W29" s="866"/>
      <c r="X29" s="871">
        <v>428.637</v>
      </c>
      <c r="Y29" s="871">
        <v>527.04600000000005</v>
      </c>
      <c r="Z29" s="259">
        <f t="shared" si="8"/>
        <v>955.68299999999999</v>
      </c>
      <c r="AA29" s="962"/>
      <c r="AB29" s="871"/>
      <c r="AC29" s="878"/>
      <c r="AD29" s="866"/>
      <c r="AE29" s="871">
        <v>456.72</v>
      </c>
      <c r="AF29" s="871">
        <v>565.71600000000001</v>
      </c>
      <c r="AG29" s="259">
        <f t="shared" si="9"/>
        <v>1022.436</v>
      </c>
      <c r="AH29" s="962"/>
      <c r="AI29" s="871"/>
      <c r="AJ29" s="878"/>
      <c r="AK29" s="870"/>
      <c r="AL29" s="867">
        <f>AE29+(AE29*$AP$118)</f>
        <v>457.17672000000005</v>
      </c>
      <c r="AM29" s="867">
        <f>AF29+(AF29*$AP$118)</f>
        <v>566.28171599999996</v>
      </c>
      <c r="AN29" s="146">
        <f t="shared" si="2"/>
        <v>1023.458436</v>
      </c>
      <c r="AO29" s="871"/>
      <c r="AP29" s="871"/>
      <c r="AQ29" s="879"/>
      <c r="AR29" s="1430">
        <f>0.00214+$AU$126</f>
        <v>9.2747499999999997E-2</v>
      </c>
      <c r="AS29" s="1430">
        <f>0.00214+$AU$126</f>
        <v>9.2747499999999997E-2</v>
      </c>
      <c r="AT29" s="1430">
        <f>0.00214+$AU$126</f>
        <v>9.2747499999999997E-2</v>
      </c>
      <c r="AU29" s="263"/>
      <c r="AV29" s="282">
        <v>6.0699999999999997E-2</v>
      </c>
      <c r="AW29" s="282">
        <v>3.5099999999999999E-2</v>
      </c>
      <c r="AX29" s="282"/>
      <c r="AY29" s="282"/>
      <c r="AZ29" s="873">
        <f t="shared" si="27"/>
        <v>1</v>
      </c>
      <c r="BA29" s="873">
        <v>0</v>
      </c>
      <c r="BB29" s="873">
        <f t="shared" si="28"/>
        <v>1</v>
      </c>
      <c r="BC29" s="873">
        <v>0</v>
      </c>
      <c r="BD29" s="283"/>
      <c r="BE29" s="283"/>
      <c r="BF29" s="283">
        <f t="shared" si="29"/>
        <v>5.64</v>
      </c>
      <c r="BG29" s="263"/>
      <c r="BH29" s="263"/>
      <c r="BI29" s="288"/>
      <c r="BJ29" s="281">
        <v>8.3999999999999995E-3</v>
      </c>
      <c r="BK29" s="307">
        <v>2.0999999999999999E-3</v>
      </c>
      <c r="BL29" s="289">
        <f t="shared" si="17"/>
        <v>220.97664000651002</v>
      </c>
      <c r="BM29" s="874">
        <f t="shared" si="6"/>
        <v>220.97664000651002</v>
      </c>
      <c r="BN29" s="874" t="str">
        <f t="shared" si="7"/>
        <v>-</v>
      </c>
      <c r="BO29" s="875"/>
    </row>
    <row r="30" spans="1:67">
      <c r="A30" s="309">
        <v>25</v>
      </c>
      <c r="B30" s="1426" t="s">
        <v>410</v>
      </c>
      <c r="C30" s="1427" t="s">
        <v>853</v>
      </c>
      <c r="D30" s="856" t="s">
        <v>774</v>
      </c>
      <c r="E30" s="308" t="s">
        <v>497</v>
      </c>
      <c r="F30" s="255" t="s">
        <v>546</v>
      </c>
      <c r="G30" s="479" t="s">
        <v>553</v>
      </c>
      <c r="H30" s="923">
        <v>16</v>
      </c>
      <c r="I30" s="912"/>
      <c r="J30" s="913">
        <v>94.807000000000002</v>
      </c>
      <c r="K30" s="913">
        <v>92.486000000000004</v>
      </c>
      <c r="L30" s="146">
        <f t="shared" si="0"/>
        <v>187.29300000000001</v>
      </c>
      <c r="M30" s="877"/>
      <c r="N30" s="871"/>
      <c r="O30" s="878"/>
      <c r="P30" s="866"/>
      <c r="Q30" s="913">
        <v>92.418999999999997</v>
      </c>
      <c r="R30" s="913">
        <v>101.179</v>
      </c>
      <c r="S30" s="146">
        <f t="shared" si="1"/>
        <v>193.59800000000001</v>
      </c>
      <c r="T30" s="877"/>
      <c r="U30" s="871"/>
      <c r="V30" s="878"/>
      <c r="W30" s="866"/>
      <c r="X30" s="871">
        <v>131.375</v>
      </c>
      <c r="Y30" s="871">
        <v>147.03899999999999</v>
      </c>
      <c r="Z30" s="259">
        <f t="shared" si="8"/>
        <v>278.41399999999999</v>
      </c>
      <c r="AA30" s="962"/>
      <c r="AB30" s="871"/>
      <c r="AC30" s="878"/>
      <c r="AD30" s="866"/>
      <c r="AE30" s="871">
        <v>162.18</v>
      </c>
      <c r="AF30" s="871">
        <v>195.23400000000001</v>
      </c>
      <c r="AG30" s="259">
        <f t="shared" si="9"/>
        <v>357.41399999999999</v>
      </c>
      <c r="AH30" s="962"/>
      <c r="AI30" s="871"/>
      <c r="AJ30" s="878"/>
      <c r="AK30" s="866"/>
      <c r="AL30" s="867">
        <f>AE30+(AE30*$AP$119)</f>
        <v>162.50436000000002</v>
      </c>
      <c r="AM30" s="867">
        <f>AF30+(AF30*$AP$119)</f>
        <v>195.62446800000001</v>
      </c>
      <c r="AN30" s="146">
        <f t="shared" si="2"/>
        <v>358.128828</v>
      </c>
      <c r="AO30" s="871"/>
      <c r="AP30" s="871"/>
      <c r="AQ30" s="879"/>
      <c r="AR30" s="1430">
        <f>0.00214+$AU$126</f>
        <v>9.2747499999999997E-2</v>
      </c>
      <c r="AS30" s="1430">
        <f>0.00214+$AU$126</f>
        <v>9.2747499999999997E-2</v>
      </c>
      <c r="AT30" s="1430">
        <f>0.00214+$AU$126</f>
        <v>9.2747499999999997E-2</v>
      </c>
      <c r="AU30" s="282">
        <v>7.7200000000000005E-2</v>
      </c>
      <c r="AV30" s="282"/>
      <c r="AW30" s="282"/>
      <c r="AX30" s="282"/>
      <c r="AY30" s="282"/>
      <c r="AZ30" s="873">
        <f t="shared" si="27"/>
        <v>1</v>
      </c>
      <c r="BA30" s="873">
        <v>0</v>
      </c>
      <c r="BB30" s="873">
        <f t="shared" si="28"/>
        <v>1</v>
      </c>
      <c r="BC30" s="873">
        <v>0</v>
      </c>
      <c r="BD30" s="283"/>
      <c r="BE30" s="283"/>
      <c r="BF30" s="283">
        <f>IF(H30&lt;=16,3.75,IF(AND(H30&gt;=17,H30&lt;=20),4.42,IF(AND(H30&gt;=21,H30&lt;=25),5.07,IF(AND(H30&gt;=26,H30&lt;=32),5.98,IF(AND(H30&gt;=33,H30&lt;=40),7.02,IF(AND(H30&gt;=41,H30&lt;=50),8.32,IF(AND(H30&gt;=51,H30&lt;=63),10.01)))))))</f>
        <v>3.75</v>
      </c>
      <c r="BG30" s="263"/>
      <c r="BH30" s="263"/>
      <c r="BI30" s="288"/>
      <c r="BJ30" s="281">
        <v>8.3999999999999995E-3</v>
      </c>
      <c r="BK30" s="307">
        <v>2.0999999999999999E-3</v>
      </c>
      <c r="BL30" s="289">
        <f t="shared" si="17"/>
        <v>109.62345169052999</v>
      </c>
      <c r="BM30" s="874" t="str">
        <f t="shared" si="6"/>
        <v>-</v>
      </c>
      <c r="BN30" s="874">
        <f t="shared" si="7"/>
        <v>109.62345169052999</v>
      </c>
      <c r="BO30" s="875"/>
    </row>
    <row r="31" spans="1:67">
      <c r="A31" s="309">
        <v>26</v>
      </c>
      <c r="B31" s="1426" t="s">
        <v>418</v>
      </c>
      <c r="C31" s="1427" t="s">
        <v>1244</v>
      </c>
      <c r="D31" s="856" t="s">
        <v>774</v>
      </c>
      <c r="E31" s="308" t="s">
        <v>516</v>
      </c>
      <c r="F31" s="255" t="s">
        <v>546</v>
      </c>
      <c r="G31" s="479" t="s">
        <v>554</v>
      </c>
      <c r="H31" s="923">
        <v>16</v>
      </c>
      <c r="I31" s="912"/>
      <c r="J31" s="913">
        <v>1532.2449999999999</v>
      </c>
      <c r="K31" s="913">
        <v>1486.0440000000001</v>
      </c>
      <c r="L31" s="146">
        <f t="shared" si="0"/>
        <v>3018.2889999999998</v>
      </c>
      <c r="M31" s="877"/>
      <c r="N31" s="871"/>
      <c r="O31" s="878"/>
      <c r="P31" s="866"/>
      <c r="Q31" s="913">
        <v>386.38799999999998</v>
      </c>
      <c r="R31" s="913">
        <v>487.94799999999998</v>
      </c>
      <c r="S31" s="146">
        <f t="shared" si="1"/>
        <v>874.33600000000001</v>
      </c>
      <c r="T31" s="877"/>
      <c r="U31" s="871"/>
      <c r="V31" s="878"/>
      <c r="W31" s="866"/>
      <c r="X31" s="871">
        <v>1524.6479999999999</v>
      </c>
      <c r="Y31" s="871">
        <v>1917.723</v>
      </c>
      <c r="Z31" s="259">
        <f t="shared" si="8"/>
        <v>3442.3710000000001</v>
      </c>
      <c r="AA31" s="962"/>
      <c r="AB31" s="871"/>
      <c r="AC31" s="878"/>
      <c r="AD31" s="866"/>
      <c r="AE31" s="871">
        <v>1812.6220000000001</v>
      </c>
      <c r="AF31" s="871">
        <v>2229.538</v>
      </c>
      <c r="AG31" s="259">
        <f t="shared" si="9"/>
        <v>4042.16</v>
      </c>
      <c r="AH31" s="962"/>
      <c r="AI31" s="871"/>
      <c r="AJ31" s="878"/>
      <c r="AK31" s="866"/>
      <c r="AL31" s="867">
        <f>AE31+(AE31*$AP$119)</f>
        <v>1816.2472440000001</v>
      </c>
      <c r="AM31" s="867">
        <f>AF31+(AF31*$AP$119)</f>
        <v>2233.9970760000001</v>
      </c>
      <c r="AN31" s="146">
        <f t="shared" si="2"/>
        <v>4050.2443200000002</v>
      </c>
      <c r="AO31" s="871"/>
      <c r="AP31" s="871"/>
      <c r="AQ31" s="879"/>
      <c r="AR31" s="1430">
        <f>0.00214+$AU$126</f>
        <v>9.2747499999999997E-2</v>
      </c>
      <c r="AS31" s="1430">
        <f>0.00214+$AU$126</f>
        <v>9.2747499999999997E-2</v>
      </c>
      <c r="AT31" s="1430">
        <f>0.00214+$AU$126</f>
        <v>9.2747499999999997E-2</v>
      </c>
      <c r="AU31" s="263"/>
      <c r="AV31" s="282">
        <v>6.0699999999999997E-2</v>
      </c>
      <c r="AW31" s="282">
        <v>3.5099999999999999E-2</v>
      </c>
      <c r="AX31" s="282"/>
      <c r="AY31" s="282"/>
      <c r="AZ31" s="873">
        <f t="shared" si="27"/>
        <v>1</v>
      </c>
      <c r="BA31" s="873">
        <v>0</v>
      </c>
      <c r="BB31" s="873">
        <f t="shared" si="28"/>
        <v>1</v>
      </c>
      <c r="BC31" s="873">
        <v>0</v>
      </c>
      <c r="BD31" s="283"/>
      <c r="BE31" s="283"/>
      <c r="BF31" s="283">
        <f t="shared" si="29"/>
        <v>5.64</v>
      </c>
      <c r="BG31" s="263"/>
      <c r="BH31" s="263"/>
      <c r="BI31" s="288"/>
      <c r="BJ31" s="281">
        <v>8.3999999999999995E-3</v>
      </c>
      <c r="BK31" s="307">
        <v>2.0999999999999999E-3</v>
      </c>
      <c r="BL31" s="289">
        <f t="shared" si="17"/>
        <v>674.51710550760004</v>
      </c>
      <c r="BM31" s="874" t="str">
        <f t="shared" si="6"/>
        <v>-</v>
      </c>
      <c r="BN31" s="874">
        <f t="shared" si="7"/>
        <v>674.51710550760004</v>
      </c>
      <c r="BO31" s="875"/>
    </row>
    <row r="32" spans="1:67">
      <c r="A32" s="309">
        <v>27</v>
      </c>
      <c r="B32" s="1426" t="s">
        <v>408</v>
      </c>
      <c r="C32" s="1427" t="s">
        <v>864</v>
      </c>
      <c r="D32" s="856" t="s">
        <v>773</v>
      </c>
      <c r="E32" s="308" t="s">
        <v>488</v>
      </c>
      <c r="F32" s="255" t="s">
        <v>546</v>
      </c>
      <c r="G32" s="479" t="s">
        <v>554</v>
      </c>
      <c r="H32" s="923">
        <v>25</v>
      </c>
      <c r="I32" s="912"/>
      <c r="J32" s="913">
        <v>2020.1849999999999</v>
      </c>
      <c r="K32" s="913">
        <v>2217.9879999999998</v>
      </c>
      <c r="L32" s="146">
        <f t="shared" si="0"/>
        <v>4238.1729999999998</v>
      </c>
      <c r="M32" s="877"/>
      <c r="N32" s="871"/>
      <c r="O32" s="878"/>
      <c r="P32" s="866"/>
      <c r="Q32" s="913">
        <v>2054.8589999999999</v>
      </c>
      <c r="R32" s="913">
        <v>2509.4450000000002</v>
      </c>
      <c r="S32" s="146">
        <f t="shared" si="1"/>
        <v>4564.3040000000001</v>
      </c>
      <c r="T32" s="877"/>
      <c r="U32" s="871"/>
      <c r="V32" s="878"/>
      <c r="W32" s="866"/>
      <c r="X32" s="871">
        <v>1854.8119999999999</v>
      </c>
      <c r="Y32" s="871">
        <v>2431.2979999999998</v>
      </c>
      <c r="Z32" s="259">
        <f t="shared" si="8"/>
        <v>4286.1099999999997</v>
      </c>
      <c r="AA32" s="962"/>
      <c r="AB32" s="871"/>
      <c r="AC32" s="878"/>
      <c r="AD32" s="866"/>
      <c r="AE32" s="871">
        <v>1058.575</v>
      </c>
      <c r="AF32" s="871">
        <v>1378.002</v>
      </c>
      <c r="AG32" s="259">
        <f t="shared" si="9"/>
        <v>2436.5770000000002</v>
      </c>
      <c r="AH32" s="962"/>
      <c r="AI32" s="871"/>
      <c r="AJ32" s="878"/>
      <c r="AK32" s="870"/>
      <c r="AL32" s="867">
        <f>AE32+(AE32*$AP$118)</f>
        <v>1059.6335750000001</v>
      </c>
      <c r="AM32" s="867">
        <f>AF32+(AF32*$AP$118)</f>
        <v>1379.3800019999999</v>
      </c>
      <c r="AN32" s="146">
        <f t="shared" si="2"/>
        <v>2439.0135769999997</v>
      </c>
      <c r="AO32" s="871"/>
      <c r="AP32" s="871"/>
      <c r="AQ32" s="879"/>
      <c r="AR32" s="1430">
        <f>0.00214+$AU$126</f>
        <v>9.2747499999999997E-2</v>
      </c>
      <c r="AS32" s="1430">
        <f>0.00214+$AU$126</f>
        <v>9.2747499999999997E-2</v>
      </c>
      <c r="AT32" s="1430">
        <f>0.00214+$AU$126</f>
        <v>9.2747499999999997E-2</v>
      </c>
      <c r="AU32" s="263"/>
      <c r="AV32" s="282">
        <v>6.0699999999999997E-2</v>
      </c>
      <c r="AW32" s="282">
        <v>3.5099999999999999E-2</v>
      </c>
      <c r="AX32" s="282"/>
      <c r="AY32" s="282"/>
      <c r="AZ32" s="873">
        <f t="shared" si="27"/>
        <v>1</v>
      </c>
      <c r="BA32" s="873">
        <v>0</v>
      </c>
      <c r="BB32" s="873">
        <f t="shared" si="28"/>
        <v>1</v>
      </c>
      <c r="BC32" s="873">
        <v>0</v>
      </c>
      <c r="BD32" s="283"/>
      <c r="BE32" s="283"/>
      <c r="BF32" s="283">
        <f t="shared" si="29"/>
        <v>8.32</v>
      </c>
      <c r="BG32" s="263"/>
      <c r="BH32" s="263"/>
      <c r="BI32" s="288"/>
      <c r="BJ32" s="281">
        <v>8.3999999999999995E-3</v>
      </c>
      <c r="BK32" s="307">
        <v>2.0999999999999999E-3</v>
      </c>
      <c r="BL32" s="289">
        <f t="shared" si="17"/>
        <v>464.39805036400753</v>
      </c>
      <c r="BM32" s="874">
        <f t="shared" si="6"/>
        <v>464.39805036400753</v>
      </c>
      <c r="BN32" s="874" t="str">
        <f t="shared" si="7"/>
        <v>-</v>
      </c>
      <c r="BO32" s="875"/>
    </row>
    <row r="33" spans="1:67">
      <c r="A33" s="309">
        <v>28</v>
      </c>
      <c r="B33" s="1426" t="s">
        <v>460</v>
      </c>
      <c r="C33" s="1427" t="s">
        <v>851</v>
      </c>
      <c r="D33" s="856" t="s">
        <v>774</v>
      </c>
      <c r="E33" s="308" t="s">
        <v>634</v>
      </c>
      <c r="F33" s="255" t="s">
        <v>546</v>
      </c>
      <c r="G33" s="479" t="s">
        <v>554</v>
      </c>
      <c r="H33" s="923">
        <v>16</v>
      </c>
      <c r="I33" s="912"/>
      <c r="J33" s="913">
        <v>1503.4079999999999</v>
      </c>
      <c r="K33" s="913">
        <v>1634.163</v>
      </c>
      <c r="L33" s="146">
        <f t="shared" si="0"/>
        <v>3137.5709999999999</v>
      </c>
      <c r="M33" s="877"/>
      <c r="N33" s="871"/>
      <c r="O33" s="878"/>
      <c r="P33" s="866"/>
      <c r="Q33" s="913">
        <v>913.91700000000003</v>
      </c>
      <c r="R33" s="913">
        <v>945.28800000000001</v>
      </c>
      <c r="S33" s="146">
        <f t="shared" si="1"/>
        <v>1859.2049999999999</v>
      </c>
      <c r="T33" s="877"/>
      <c r="U33" s="871"/>
      <c r="V33" s="878"/>
      <c r="W33" s="866"/>
      <c r="X33" s="871">
        <v>1280.625</v>
      </c>
      <c r="Y33" s="871">
        <v>1449.606</v>
      </c>
      <c r="Z33" s="259">
        <f t="shared" si="8"/>
        <v>2730.2309999999998</v>
      </c>
      <c r="AA33" s="962"/>
      <c r="AB33" s="871"/>
      <c r="AC33" s="878"/>
      <c r="AD33" s="866"/>
      <c r="AE33" s="871">
        <v>1535.5119999999999</v>
      </c>
      <c r="AF33" s="871">
        <v>1881.809</v>
      </c>
      <c r="AG33" s="259">
        <f t="shared" si="9"/>
        <v>3417.3209999999999</v>
      </c>
      <c r="AH33" s="962"/>
      <c r="AI33" s="871"/>
      <c r="AJ33" s="878"/>
      <c r="AK33" s="866"/>
      <c r="AL33" s="867">
        <f t="shared" ref="AL33:AM36" si="30">AE33+(AE33*$AP$119)</f>
        <v>1538.583024</v>
      </c>
      <c r="AM33" s="867">
        <f t="shared" si="30"/>
        <v>1885.5726179999999</v>
      </c>
      <c r="AN33" s="146">
        <f t="shared" si="2"/>
        <v>3424.1556419999997</v>
      </c>
      <c r="AO33" s="871"/>
      <c r="AP33" s="871"/>
      <c r="AQ33" s="879"/>
      <c r="AR33" s="1430">
        <f>0.00214+$AU$126</f>
        <v>9.2747499999999997E-2</v>
      </c>
      <c r="AS33" s="1430">
        <f>0.00214+$AU$126</f>
        <v>9.2747499999999997E-2</v>
      </c>
      <c r="AT33" s="1430">
        <f>0.00214+$AU$126</f>
        <v>9.2747499999999997E-2</v>
      </c>
      <c r="AU33" s="263"/>
      <c r="AV33" s="282">
        <v>6.0699999999999997E-2</v>
      </c>
      <c r="AW33" s="282">
        <v>3.5099999999999999E-2</v>
      </c>
      <c r="AX33" s="282"/>
      <c r="AY33" s="282"/>
      <c r="AZ33" s="873">
        <f t="shared" si="27"/>
        <v>1</v>
      </c>
      <c r="BA33" s="873">
        <v>0</v>
      </c>
      <c r="BB33" s="873">
        <f t="shared" si="28"/>
        <v>1</v>
      </c>
      <c r="BC33" s="873">
        <v>0</v>
      </c>
      <c r="BD33" s="283"/>
      <c r="BE33" s="283"/>
      <c r="BF33" s="283">
        <f t="shared" si="29"/>
        <v>5.64</v>
      </c>
      <c r="BG33" s="263"/>
      <c r="BH33" s="263"/>
      <c r="BI33" s="288"/>
      <c r="BJ33" s="281">
        <v>8.3999999999999995E-3</v>
      </c>
      <c r="BK33" s="307">
        <v>2.0999999999999999E-3</v>
      </c>
      <c r="BL33" s="289">
        <f t="shared" si="17"/>
        <v>580.79109809599493</v>
      </c>
      <c r="BM33" s="874" t="str">
        <f t="shared" si="6"/>
        <v>-</v>
      </c>
      <c r="BN33" s="874">
        <f t="shared" si="7"/>
        <v>580.79109809599493</v>
      </c>
      <c r="BO33" s="875"/>
    </row>
    <row r="34" spans="1:67">
      <c r="A34" s="309">
        <v>29</v>
      </c>
      <c r="B34" s="1426" t="s">
        <v>460</v>
      </c>
      <c r="C34" s="1427" t="s">
        <v>873</v>
      </c>
      <c r="D34" s="856" t="s">
        <v>774</v>
      </c>
      <c r="E34" s="308" t="s">
        <v>651</v>
      </c>
      <c r="F34" s="255" t="s">
        <v>546</v>
      </c>
      <c r="G34" s="479" t="s">
        <v>553</v>
      </c>
      <c r="H34" s="923">
        <v>6</v>
      </c>
      <c r="I34" s="912"/>
      <c r="J34" s="913">
        <v>0</v>
      </c>
      <c r="K34" s="913">
        <v>0</v>
      </c>
      <c r="L34" s="146">
        <f t="shared" si="0"/>
        <v>0</v>
      </c>
      <c r="M34" s="877"/>
      <c r="N34" s="871"/>
      <c r="O34" s="878"/>
      <c r="P34" s="866"/>
      <c r="Q34" s="913">
        <v>0</v>
      </c>
      <c r="R34" s="913">
        <v>0</v>
      </c>
      <c r="S34" s="146">
        <f t="shared" si="1"/>
        <v>0</v>
      </c>
      <c r="T34" s="877"/>
      <c r="U34" s="871"/>
      <c r="V34" s="878"/>
      <c r="W34" s="866"/>
      <c r="X34" s="871">
        <v>0</v>
      </c>
      <c r="Y34" s="871">
        <v>0</v>
      </c>
      <c r="Z34" s="259">
        <f t="shared" si="8"/>
        <v>0</v>
      </c>
      <c r="AA34" s="962"/>
      <c r="AB34" s="871"/>
      <c r="AC34" s="878"/>
      <c r="AD34" s="866"/>
      <c r="AE34" s="871">
        <v>0</v>
      </c>
      <c r="AF34" s="871">
        <v>0</v>
      </c>
      <c r="AG34" s="259">
        <f t="shared" si="9"/>
        <v>0</v>
      </c>
      <c r="AH34" s="962"/>
      <c r="AI34" s="871"/>
      <c r="AJ34" s="878"/>
      <c r="AK34" s="866"/>
      <c r="AL34" s="867">
        <f t="shared" si="30"/>
        <v>0</v>
      </c>
      <c r="AM34" s="867">
        <f t="shared" si="30"/>
        <v>0</v>
      </c>
      <c r="AN34" s="146">
        <f t="shared" si="2"/>
        <v>0</v>
      </c>
      <c r="AO34" s="871"/>
      <c r="AP34" s="871"/>
      <c r="AQ34" s="879"/>
      <c r="AR34" s="1430">
        <f>0.00214+$AU$126</f>
        <v>9.2747499999999997E-2</v>
      </c>
      <c r="AS34" s="1430">
        <f>0.00214+$AU$126</f>
        <v>9.2747499999999997E-2</v>
      </c>
      <c r="AT34" s="1430">
        <f>0.00214+$AU$126</f>
        <v>9.2747499999999997E-2</v>
      </c>
      <c r="AU34" s="282">
        <v>7.7200000000000005E-2</v>
      </c>
      <c r="AV34" s="282"/>
      <c r="AW34" s="282"/>
      <c r="AX34" s="282"/>
      <c r="AY34" s="282"/>
      <c r="AZ34" s="873">
        <f t="shared" si="27"/>
        <v>1</v>
      </c>
      <c r="BA34" s="873">
        <v>0</v>
      </c>
      <c r="BB34" s="873">
        <f t="shared" si="28"/>
        <v>1</v>
      </c>
      <c r="BC34" s="873">
        <v>0</v>
      </c>
      <c r="BD34" s="283"/>
      <c r="BE34" s="283"/>
      <c r="BF34" s="283">
        <f>IF(H34&lt;=16,3.75,IF(AND(H34&gt;=17,H34&lt;=20),4.42,IF(AND(H34&gt;=21,H34&lt;=25),5.07,IF(AND(H34&gt;=26,H34&lt;=32),5.98,IF(AND(H34&gt;=33,H34&lt;=40),7.02,IF(AND(H34&gt;=41,H34&lt;=50),8.32,IF(AND(H34&gt;=51,H34&lt;=63),10.01)))))))</f>
        <v>3.75</v>
      </c>
      <c r="BG34" s="263"/>
      <c r="BH34" s="263"/>
      <c r="BI34" s="288"/>
      <c r="BJ34" s="281">
        <v>8.3999999999999995E-3</v>
      </c>
      <c r="BK34" s="307">
        <v>2.0999999999999999E-3</v>
      </c>
      <c r="BL34" s="289">
        <f t="shared" si="17"/>
        <v>45</v>
      </c>
      <c r="BM34" s="874" t="str">
        <f t="shared" si="6"/>
        <v>-</v>
      </c>
      <c r="BN34" s="874">
        <f t="shared" si="7"/>
        <v>45</v>
      </c>
      <c r="BO34" s="875"/>
    </row>
    <row r="35" spans="1:67">
      <c r="A35" s="309">
        <v>30</v>
      </c>
      <c r="B35" s="1426" t="s">
        <v>659</v>
      </c>
      <c r="C35" s="1427" t="s">
        <v>863</v>
      </c>
      <c r="D35" s="856" t="s">
        <v>774</v>
      </c>
      <c r="E35" s="308" t="s">
        <v>660</v>
      </c>
      <c r="F35" s="255" t="s">
        <v>546</v>
      </c>
      <c r="G35" s="479" t="s">
        <v>553</v>
      </c>
      <c r="H35" s="923">
        <v>16</v>
      </c>
      <c r="I35" s="912"/>
      <c r="J35" s="913">
        <v>70.927999999999997</v>
      </c>
      <c r="K35" s="913">
        <v>56.722000000000001</v>
      </c>
      <c r="L35" s="146">
        <f t="shared" si="0"/>
        <v>127.65</v>
      </c>
      <c r="M35" s="877"/>
      <c r="N35" s="871"/>
      <c r="O35" s="878"/>
      <c r="P35" s="866"/>
      <c r="Q35" s="913">
        <v>77.278999999999996</v>
      </c>
      <c r="R35" s="913">
        <v>77.66</v>
      </c>
      <c r="S35" s="146">
        <f t="shared" si="1"/>
        <v>154.93899999999999</v>
      </c>
      <c r="T35" s="877"/>
      <c r="U35" s="871"/>
      <c r="V35" s="878"/>
      <c r="W35" s="866"/>
      <c r="X35" s="871">
        <v>73.221999999999994</v>
      </c>
      <c r="Y35" s="871">
        <v>86.912000000000006</v>
      </c>
      <c r="Z35" s="259">
        <f t="shared" si="8"/>
        <v>160.13400000000001</v>
      </c>
      <c r="AA35" s="962"/>
      <c r="AB35" s="871"/>
      <c r="AC35" s="878"/>
      <c r="AD35" s="866"/>
      <c r="AE35" s="871">
        <v>54.412999999999997</v>
      </c>
      <c r="AF35" s="871">
        <v>74.515000000000001</v>
      </c>
      <c r="AG35" s="259">
        <f t="shared" si="9"/>
        <v>128.928</v>
      </c>
      <c r="AH35" s="962"/>
      <c r="AI35" s="871"/>
      <c r="AJ35" s="878"/>
      <c r="AK35" s="866"/>
      <c r="AL35" s="867">
        <f t="shared" si="30"/>
        <v>54.521825999999997</v>
      </c>
      <c r="AM35" s="867">
        <f t="shared" si="30"/>
        <v>74.664029999999997</v>
      </c>
      <c r="AN35" s="146">
        <f t="shared" si="2"/>
        <v>129.185856</v>
      </c>
      <c r="AO35" s="871"/>
      <c r="AP35" s="871"/>
      <c r="AQ35" s="879"/>
      <c r="AR35" s="1430">
        <f>0.00214+$AU$126</f>
        <v>9.2747499999999997E-2</v>
      </c>
      <c r="AS35" s="1430">
        <f>0.00214+$AU$126</f>
        <v>9.2747499999999997E-2</v>
      </c>
      <c r="AT35" s="1430">
        <f>0.00214+$AU$126</f>
        <v>9.2747499999999997E-2</v>
      </c>
      <c r="AU35" s="282">
        <v>7.7200000000000005E-2</v>
      </c>
      <c r="AV35" s="282"/>
      <c r="AW35" s="282"/>
      <c r="AX35" s="282"/>
      <c r="AY35" s="282"/>
      <c r="AZ35" s="873">
        <f t="shared" si="27"/>
        <v>1</v>
      </c>
      <c r="BA35" s="873">
        <v>0</v>
      </c>
      <c r="BB35" s="873">
        <f t="shared" si="28"/>
        <v>1</v>
      </c>
      <c r="BC35" s="873">
        <v>0</v>
      </c>
      <c r="BD35" s="283"/>
      <c r="BE35" s="283"/>
      <c r="BF35" s="283">
        <f>IF(H35&lt;=16,3.75,IF(AND(H35&gt;=17,H35&lt;=20),4.42,IF(AND(H35&gt;=21,H35&lt;=25),5.07,IF(AND(H35&gt;=26,H35&lt;=32),5.98,IF(AND(H35&gt;=33,H35&lt;=40),7.02,IF(AND(H35&gt;=41,H35&lt;=50),8.32,IF(AND(H35&gt;=51,H35&lt;=63),10.01)))))))</f>
        <v>3.75</v>
      </c>
      <c r="BG35" s="263"/>
      <c r="BH35" s="263"/>
      <c r="BI35" s="288"/>
      <c r="BJ35" s="281">
        <v>8.3999999999999995E-3</v>
      </c>
      <c r="BK35" s="307">
        <v>2.0999999999999999E-3</v>
      </c>
      <c r="BL35" s="289">
        <f t="shared" si="17"/>
        <v>68.311264750560014</v>
      </c>
      <c r="BM35" s="874" t="str">
        <f t="shared" si="6"/>
        <v>-</v>
      </c>
      <c r="BN35" s="874">
        <f t="shared" si="7"/>
        <v>68.311264750560014</v>
      </c>
      <c r="BO35" s="875"/>
    </row>
    <row r="36" spans="1:67">
      <c r="A36" s="309">
        <v>31</v>
      </c>
      <c r="B36" s="1426" t="s">
        <v>659</v>
      </c>
      <c r="C36" s="1427" t="s">
        <v>1057</v>
      </c>
      <c r="D36" s="856" t="s">
        <v>774</v>
      </c>
      <c r="E36" s="308" t="s">
        <v>661</v>
      </c>
      <c r="F36" s="255" t="s">
        <v>546</v>
      </c>
      <c r="G36" s="479" t="s">
        <v>553</v>
      </c>
      <c r="H36" s="923">
        <v>16</v>
      </c>
      <c r="I36" s="912"/>
      <c r="J36" s="913">
        <v>33.744999999999997</v>
      </c>
      <c r="K36" s="913">
        <v>76.629000000000005</v>
      </c>
      <c r="L36" s="146">
        <f t="shared" si="0"/>
        <v>110.374</v>
      </c>
      <c r="M36" s="877"/>
      <c r="N36" s="871"/>
      <c r="O36" s="878"/>
      <c r="P36" s="866"/>
      <c r="Q36" s="913">
        <v>45.204000000000001</v>
      </c>
      <c r="R36" s="913">
        <v>62.38</v>
      </c>
      <c r="S36" s="146">
        <f t="shared" si="1"/>
        <v>107.584</v>
      </c>
      <c r="T36" s="877"/>
      <c r="U36" s="871"/>
      <c r="V36" s="878"/>
      <c r="W36" s="866"/>
      <c r="X36" s="871">
        <v>46.335000000000001</v>
      </c>
      <c r="Y36" s="871">
        <v>64.555000000000007</v>
      </c>
      <c r="Z36" s="259">
        <f t="shared" si="8"/>
        <v>110.89000000000001</v>
      </c>
      <c r="AA36" s="962"/>
      <c r="AB36" s="871"/>
      <c r="AC36" s="878"/>
      <c r="AD36" s="866"/>
      <c r="AE36" s="871">
        <v>46.41</v>
      </c>
      <c r="AF36" s="871">
        <v>59.661000000000001</v>
      </c>
      <c r="AG36" s="259">
        <f t="shared" si="9"/>
        <v>106.071</v>
      </c>
      <c r="AH36" s="962"/>
      <c r="AI36" s="871"/>
      <c r="AJ36" s="878"/>
      <c r="AK36" s="866"/>
      <c r="AL36" s="867">
        <f t="shared" si="30"/>
        <v>46.50282</v>
      </c>
      <c r="AM36" s="867">
        <f t="shared" si="30"/>
        <v>59.780321999999998</v>
      </c>
      <c r="AN36" s="146">
        <f t="shared" si="2"/>
        <v>106.283142</v>
      </c>
      <c r="AO36" s="871"/>
      <c r="AP36" s="871"/>
      <c r="AQ36" s="879"/>
      <c r="AR36" s="1430">
        <f>0.00214+$AU$126</f>
        <v>9.2747499999999997E-2</v>
      </c>
      <c r="AS36" s="1430">
        <f>0.00214+$AU$126</f>
        <v>9.2747499999999997E-2</v>
      </c>
      <c r="AT36" s="1430">
        <f>0.00214+$AU$126</f>
        <v>9.2747499999999997E-2</v>
      </c>
      <c r="AU36" s="282">
        <v>7.7200000000000005E-2</v>
      </c>
      <c r="AV36" s="282"/>
      <c r="AW36" s="282"/>
      <c r="AX36" s="282"/>
      <c r="AY36" s="282"/>
      <c r="AZ36" s="873">
        <f t="shared" si="27"/>
        <v>1</v>
      </c>
      <c r="BA36" s="873">
        <v>0</v>
      </c>
      <c r="BB36" s="873">
        <f t="shared" si="28"/>
        <v>1</v>
      </c>
      <c r="BC36" s="873">
        <v>0</v>
      </c>
      <c r="BD36" s="283"/>
      <c r="BE36" s="283"/>
      <c r="BF36" s="283">
        <f>IF(H36&lt;=16,3.75,IF(AND(H36&gt;=17,H36&lt;=20),4.42,IF(AND(H36&gt;=21,H36&lt;=25),5.07,IF(AND(H36&gt;=26,H36&lt;=32),5.98,IF(AND(H36&gt;=33,H36&lt;=40),7.02,IF(AND(H36&gt;=41,H36&lt;=50),8.32,IF(AND(H36&gt;=51,H36&lt;=63),10.01)))))))</f>
        <v>3.75</v>
      </c>
      <c r="BG36" s="263"/>
      <c r="BH36" s="263"/>
      <c r="BI36" s="288"/>
      <c r="BJ36" s="281">
        <v>8.3999999999999995E-3</v>
      </c>
      <c r="BK36" s="307">
        <v>2.0999999999999999E-3</v>
      </c>
      <c r="BL36" s="289">
        <f t="shared" si="17"/>
        <v>64.178527266044995</v>
      </c>
      <c r="BM36" s="874" t="str">
        <f t="shared" si="6"/>
        <v>-</v>
      </c>
      <c r="BN36" s="874">
        <f t="shared" si="7"/>
        <v>64.178527266044995</v>
      </c>
      <c r="BO36" s="875"/>
    </row>
    <row r="37" spans="1:67">
      <c r="A37" s="309">
        <v>32</v>
      </c>
      <c r="B37" s="1426" t="s">
        <v>659</v>
      </c>
      <c r="C37" s="1427" t="s">
        <v>845</v>
      </c>
      <c r="D37" s="856" t="s">
        <v>773</v>
      </c>
      <c r="E37" s="308" t="s">
        <v>662</v>
      </c>
      <c r="F37" s="255" t="s">
        <v>546</v>
      </c>
      <c r="G37" s="479" t="s">
        <v>554</v>
      </c>
      <c r="H37" s="923">
        <v>25</v>
      </c>
      <c r="I37" s="912"/>
      <c r="J37" s="913">
        <v>6314.2250000000004</v>
      </c>
      <c r="K37" s="913">
        <v>6122.3339999999998</v>
      </c>
      <c r="L37" s="146">
        <f t="shared" si="0"/>
        <v>12436.559000000001</v>
      </c>
      <c r="M37" s="877"/>
      <c r="N37" s="871"/>
      <c r="O37" s="878"/>
      <c r="P37" s="866"/>
      <c r="Q37" s="913">
        <v>4312.9359999999997</v>
      </c>
      <c r="R37" s="913">
        <v>5368.8069999999998</v>
      </c>
      <c r="S37" s="146">
        <f t="shared" si="1"/>
        <v>9681.7429999999986</v>
      </c>
      <c r="T37" s="877"/>
      <c r="U37" s="871"/>
      <c r="V37" s="878"/>
      <c r="W37" s="866"/>
      <c r="X37" s="871">
        <v>5087.0770000000002</v>
      </c>
      <c r="Y37" s="871">
        <v>6840.2960000000003</v>
      </c>
      <c r="Z37" s="259">
        <f t="shared" si="8"/>
        <v>11927.373</v>
      </c>
      <c r="AA37" s="962"/>
      <c r="AB37" s="871"/>
      <c r="AC37" s="878"/>
      <c r="AD37" s="866"/>
      <c r="AE37" s="871">
        <v>5939.1480000000001</v>
      </c>
      <c r="AF37" s="871">
        <v>7900.4639999999999</v>
      </c>
      <c r="AG37" s="259">
        <f t="shared" si="9"/>
        <v>13839.612000000001</v>
      </c>
      <c r="AH37" s="962"/>
      <c r="AI37" s="871"/>
      <c r="AJ37" s="878"/>
      <c r="AK37" s="870"/>
      <c r="AL37" s="867">
        <f>AE37+(AE37*$AP$118)</f>
        <v>5945.0871480000005</v>
      </c>
      <c r="AM37" s="867">
        <f>AF37+(AF37*$AP$118)</f>
        <v>7908.3644640000002</v>
      </c>
      <c r="AN37" s="146">
        <f t="shared" si="2"/>
        <v>13853.451612000001</v>
      </c>
      <c r="AO37" s="871"/>
      <c r="AP37" s="871"/>
      <c r="AQ37" s="879"/>
      <c r="AR37" s="1430">
        <f>0.00214+$AU$126</f>
        <v>9.2747499999999997E-2</v>
      </c>
      <c r="AS37" s="1430">
        <f>0.00214+$AU$126</f>
        <v>9.2747499999999997E-2</v>
      </c>
      <c r="AT37" s="1430">
        <f>0.00214+$AU$126</f>
        <v>9.2747499999999997E-2</v>
      </c>
      <c r="AU37" s="263"/>
      <c r="AV37" s="282">
        <v>6.0699999999999997E-2</v>
      </c>
      <c r="AW37" s="282">
        <v>3.5099999999999999E-2</v>
      </c>
      <c r="AX37" s="282"/>
      <c r="AY37" s="282"/>
      <c r="AZ37" s="873">
        <f t="shared" ref="AZ37:AZ39" si="31">100%-BA37</f>
        <v>1</v>
      </c>
      <c r="BA37" s="873">
        <v>0</v>
      </c>
      <c r="BB37" s="873">
        <f t="shared" ref="BB37:BB39" si="32">100%-BC37</f>
        <v>1</v>
      </c>
      <c r="BC37" s="873">
        <v>0</v>
      </c>
      <c r="BD37" s="283"/>
      <c r="BE37" s="283"/>
      <c r="BF37" s="283">
        <f>IF(H37&lt;=16,5.64,IF(AND(H37&gt;=17,H37&lt;=20),7.02,IF(AND(H37&gt;=21,H37&lt;=25),8.32,IF(AND(H37&gt;=26,H37&lt;=32),10.14,IF(AND(H37&gt;=33,H37&lt;=40),12.22,IF(AND(H37&gt;=41,H37&lt;=50),14.82,IF(AND(H37&gt;=51,H37&lt;=63),18.2)))))))</f>
        <v>8.32</v>
      </c>
      <c r="BG37" s="263"/>
      <c r="BH37" s="263"/>
      <c r="BI37" s="288"/>
      <c r="BJ37" s="281">
        <v>8.3999999999999995E-3</v>
      </c>
      <c r="BK37" s="307">
        <v>2.0999999999999999E-3</v>
      </c>
      <c r="BL37" s="289">
        <f t="shared" si="17"/>
        <v>2168.6246278799699</v>
      </c>
      <c r="BM37" s="874">
        <f t="shared" si="6"/>
        <v>2168.6246278799699</v>
      </c>
      <c r="BN37" s="874" t="str">
        <f t="shared" si="7"/>
        <v>-</v>
      </c>
      <c r="BO37" s="875"/>
    </row>
    <row r="38" spans="1:67">
      <c r="A38" s="309">
        <v>33</v>
      </c>
      <c r="B38" s="1426" t="s">
        <v>461</v>
      </c>
      <c r="C38" s="1427" t="s">
        <v>866</v>
      </c>
      <c r="D38" s="856" t="s">
        <v>774</v>
      </c>
      <c r="E38" s="308" t="s">
        <v>658</v>
      </c>
      <c r="F38" s="255" t="s">
        <v>546</v>
      </c>
      <c r="G38" s="479" t="s">
        <v>553</v>
      </c>
      <c r="H38" s="923">
        <v>16</v>
      </c>
      <c r="I38" s="912"/>
      <c r="J38" s="913">
        <v>505.363</v>
      </c>
      <c r="K38" s="913">
        <v>208.91499999999999</v>
      </c>
      <c r="L38" s="146">
        <f t="shared" si="0"/>
        <v>714.27800000000002</v>
      </c>
      <c r="M38" s="877"/>
      <c r="N38" s="871"/>
      <c r="O38" s="878"/>
      <c r="P38" s="866"/>
      <c r="Q38" s="913">
        <v>510.52800000000002</v>
      </c>
      <c r="R38" s="913">
        <v>202.23099999999999</v>
      </c>
      <c r="S38" s="146">
        <f t="shared" si="1"/>
        <v>712.75900000000001</v>
      </c>
      <c r="T38" s="877"/>
      <c r="U38" s="871"/>
      <c r="V38" s="878"/>
      <c r="W38" s="866"/>
      <c r="X38" s="871">
        <v>559.19500000000005</v>
      </c>
      <c r="Y38" s="871">
        <v>221.00299999999999</v>
      </c>
      <c r="Z38" s="259">
        <f t="shared" si="8"/>
        <v>780.19800000000009</v>
      </c>
      <c r="AA38" s="962"/>
      <c r="AB38" s="871"/>
      <c r="AC38" s="878"/>
      <c r="AD38" s="866"/>
      <c r="AE38" s="871">
        <v>512.5</v>
      </c>
      <c r="AF38" s="871">
        <v>193.06800000000001</v>
      </c>
      <c r="AG38" s="259">
        <f t="shared" si="9"/>
        <v>705.56799999999998</v>
      </c>
      <c r="AH38" s="962"/>
      <c r="AI38" s="871"/>
      <c r="AJ38" s="878"/>
      <c r="AK38" s="866"/>
      <c r="AL38" s="867">
        <f>AE38+(AE38*$AP$119)</f>
        <v>513.52499999999998</v>
      </c>
      <c r="AM38" s="867">
        <f>AF38+(AF38*$AP$119)</f>
        <v>193.45413600000001</v>
      </c>
      <c r="AN38" s="146">
        <f t="shared" si="2"/>
        <v>706.97913599999993</v>
      </c>
      <c r="AO38" s="871"/>
      <c r="AP38" s="871"/>
      <c r="AQ38" s="879"/>
      <c r="AR38" s="1430">
        <f>0.00214+$AU$126</f>
        <v>9.2747499999999997E-2</v>
      </c>
      <c r="AS38" s="1430">
        <f>0.00214+$AU$126</f>
        <v>9.2747499999999997E-2</v>
      </c>
      <c r="AT38" s="1430">
        <f>0.00214+$AU$126</f>
        <v>9.2747499999999997E-2</v>
      </c>
      <c r="AU38" s="282">
        <v>7.7200000000000005E-2</v>
      </c>
      <c r="AV38" s="282"/>
      <c r="AW38" s="282"/>
      <c r="AX38" s="282"/>
      <c r="AY38" s="282"/>
      <c r="AZ38" s="873">
        <f t="shared" si="31"/>
        <v>1</v>
      </c>
      <c r="BA38" s="873">
        <v>0</v>
      </c>
      <c r="BB38" s="873">
        <f t="shared" si="32"/>
        <v>1</v>
      </c>
      <c r="BC38" s="873">
        <v>0</v>
      </c>
      <c r="BD38" s="283"/>
      <c r="BE38" s="283"/>
      <c r="BF38" s="283">
        <f>IF(H38&lt;=16,3.75,IF(AND(H38&gt;=17,H38&lt;=20),4.42,IF(AND(H38&gt;=21,H38&lt;=25),5.07,IF(AND(H38&gt;=26,H38&lt;=32),5.98,IF(AND(H38&gt;=33,H38&lt;=40),7.02,IF(AND(H38&gt;=41,H38&lt;=50),8.32,IF(AND(H38&gt;=51,H38&lt;=63),10.01)))))))</f>
        <v>3.75</v>
      </c>
      <c r="BG38" s="263"/>
      <c r="BH38" s="263"/>
      <c r="BI38" s="288"/>
      <c r="BJ38" s="281">
        <v>8.3999999999999995E-3</v>
      </c>
      <c r="BK38" s="307">
        <v>2.0999999999999999E-3</v>
      </c>
      <c r="BL38" s="289">
        <f t="shared" si="17"/>
        <v>172.57261764335999</v>
      </c>
      <c r="BM38" s="874" t="str">
        <f t="shared" ref="BM38:BM72" si="33">IF(D38="V",BL38-BO38,"-")</f>
        <v>-</v>
      </c>
      <c r="BN38" s="874">
        <f t="shared" ref="BN38:BN72" si="34">IF(D38="R",BL38-BO38,"-")</f>
        <v>172.57261764335999</v>
      </c>
      <c r="BO38" s="875"/>
    </row>
    <row r="39" spans="1:67">
      <c r="A39" s="309">
        <v>34</v>
      </c>
      <c r="B39" s="1426" t="s">
        <v>461</v>
      </c>
      <c r="C39" s="1427" t="s">
        <v>1052</v>
      </c>
      <c r="D39" s="856" t="s">
        <v>774</v>
      </c>
      <c r="E39" s="308" t="s">
        <v>1053</v>
      </c>
      <c r="F39" s="255" t="s">
        <v>546</v>
      </c>
      <c r="G39" s="479" t="s">
        <v>553</v>
      </c>
      <c r="H39" s="923">
        <v>10</v>
      </c>
      <c r="I39" s="912"/>
      <c r="J39" s="949" t="s">
        <v>349</v>
      </c>
      <c r="K39" s="949" t="s">
        <v>349</v>
      </c>
      <c r="L39" s="146">
        <f t="shared" si="0"/>
        <v>0</v>
      </c>
      <c r="M39" s="877"/>
      <c r="N39" s="871"/>
      <c r="O39" s="878"/>
      <c r="P39" s="866"/>
      <c r="Q39" s="949" t="s">
        <v>349</v>
      </c>
      <c r="R39" s="949" t="s">
        <v>349</v>
      </c>
      <c r="S39" s="146">
        <f t="shared" si="1"/>
        <v>0</v>
      </c>
      <c r="T39" s="877"/>
      <c r="U39" s="871"/>
      <c r="V39" s="878"/>
      <c r="W39" s="866"/>
      <c r="X39" s="949" t="s">
        <v>349</v>
      </c>
      <c r="Y39" s="949" t="s">
        <v>349</v>
      </c>
      <c r="Z39" s="259">
        <f t="shared" si="8"/>
        <v>0</v>
      </c>
      <c r="AA39" s="962"/>
      <c r="AB39" s="871"/>
      <c r="AC39" s="878"/>
      <c r="AD39" s="866"/>
      <c r="AE39" s="871">
        <v>21.25</v>
      </c>
      <c r="AF39" s="871">
        <v>27.423999999999999</v>
      </c>
      <c r="AG39" s="259">
        <f t="shared" si="9"/>
        <v>48.673999999999999</v>
      </c>
      <c r="AH39" s="962"/>
      <c r="AI39" s="871"/>
      <c r="AJ39" s="878"/>
      <c r="AK39" s="866"/>
      <c r="AL39" s="867">
        <f>(AE39/9)*12</f>
        <v>28.333333333333336</v>
      </c>
      <c r="AM39" s="867">
        <f>(AF39/9)*12</f>
        <v>36.565333333333335</v>
      </c>
      <c r="AN39" s="146">
        <f t="shared" si="2"/>
        <v>64.898666666666671</v>
      </c>
      <c r="AO39" s="871"/>
      <c r="AP39" s="871"/>
      <c r="AQ39" s="879"/>
      <c r="AR39" s="1430">
        <f>0.00214+$AU$126</f>
        <v>9.2747499999999997E-2</v>
      </c>
      <c r="AS39" s="1430">
        <f>0.00214+$AU$126</f>
        <v>9.2747499999999997E-2</v>
      </c>
      <c r="AT39" s="1430">
        <f>0.00214+$AU$126</f>
        <v>9.2747499999999997E-2</v>
      </c>
      <c r="AU39" s="282">
        <v>7.7200000000000005E-2</v>
      </c>
      <c r="AV39" s="282"/>
      <c r="AW39" s="282"/>
      <c r="AX39" s="282"/>
      <c r="AY39" s="282"/>
      <c r="AZ39" s="873">
        <f t="shared" si="31"/>
        <v>1</v>
      </c>
      <c r="BA39" s="873">
        <v>0</v>
      </c>
      <c r="BB39" s="873">
        <f t="shared" si="32"/>
        <v>1</v>
      </c>
      <c r="BC39" s="873">
        <v>0</v>
      </c>
      <c r="BD39" s="283"/>
      <c r="BE39" s="283"/>
      <c r="BF39" s="283">
        <f>IF(H39&lt;=16,3.75,IF(AND(H39&gt;=17,H39&lt;=20),4.42,IF(AND(H39&gt;=21,H39&lt;=25),5.07,IF(AND(H39&gt;=26,H39&lt;=32),5.98,IF(AND(H39&gt;=33,H39&lt;=40),7.02,IF(AND(H39&gt;=41,H39&lt;=50),8.32,IF(AND(H39&gt;=51,H39&lt;=63),10.01)))))))</f>
        <v>3.75</v>
      </c>
      <c r="BG39" s="263"/>
      <c r="BH39" s="263"/>
      <c r="BI39" s="288"/>
      <c r="BJ39" s="281">
        <v>8.3999999999999995E-3</v>
      </c>
      <c r="BK39" s="307">
        <v>2.0999999999999999E-3</v>
      </c>
      <c r="BL39" s="289">
        <f t="shared" si="17"/>
        <v>56.710802153333333</v>
      </c>
      <c r="BM39" s="874" t="str">
        <f t="shared" si="33"/>
        <v>-</v>
      </c>
      <c r="BN39" s="874">
        <f t="shared" si="34"/>
        <v>56.710802153333333</v>
      </c>
      <c r="BO39" s="875"/>
    </row>
    <row r="40" spans="1:67" ht="26.4">
      <c r="A40" s="309">
        <v>35</v>
      </c>
      <c r="B40" s="1426" t="s">
        <v>461</v>
      </c>
      <c r="C40" s="1427" t="s">
        <v>1063</v>
      </c>
      <c r="D40" s="856" t="s">
        <v>773</v>
      </c>
      <c r="E40" s="308" t="s">
        <v>876</v>
      </c>
      <c r="F40" s="255" t="s">
        <v>546</v>
      </c>
      <c r="G40" s="479" t="s">
        <v>1050</v>
      </c>
      <c r="H40" s="923">
        <v>100</v>
      </c>
      <c r="I40" s="912"/>
      <c r="J40" s="949" t="s">
        <v>349</v>
      </c>
      <c r="K40" s="949" t="s">
        <v>349</v>
      </c>
      <c r="L40" s="146">
        <f t="shared" si="0"/>
        <v>0</v>
      </c>
      <c r="M40" s="1454" t="s">
        <v>349</v>
      </c>
      <c r="N40" s="1455" t="s">
        <v>349</v>
      </c>
      <c r="O40" s="1456" t="s">
        <v>349</v>
      </c>
      <c r="P40" s="866"/>
      <c r="Q40" s="913">
        <v>28784.226999999999</v>
      </c>
      <c r="R40" s="913">
        <v>32812.294000000002</v>
      </c>
      <c r="S40" s="146">
        <f t="shared" si="1"/>
        <v>61596.521000000001</v>
      </c>
      <c r="T40" s="877">
        <v>2097.165</v>
      </c>
      <c r="U40" s="871">
        <v>3804.4490000000005</v>
      </c>
      <c r="V40" s="878">
        <v>185</v>
      </c>
      <c r="W40" s="866"/>
      <c r="X40" s="871">
        <v>28768.581999999999</v>
      </c>
      <c r="Y40" s="871">
        <v>33169.262000000002</v>
      </c>
      <c r="Z40" s="259">
        <f t="shared" si="8"/>
        <v>61937.843999999997</v>
      </c>
      <c r="AA40" s="962">
        <v>2056.136</v>
      </c>
      <c r="AB40" s="871">
        <v>3993.3749999999995</v>
      </c>
      <c r="AC40" s="878">
        <v>187</v>
      </c>
      <c r="AD40" s="866"/>
      <c r="AE40" s="871">
        <v>41449.766000000003</v>
      </c>
      <c r="AF40" s="871">
        <v>49032.629000000001</v>
      </c>
      <c r="AG40" s="259">
        <f t="shared" si="9"/>
        <v>90482.395000000004</v>
      </c>
      <c r="AH40" s="962">
        <v>3044.826</v>
      </c>
      <c r="AI40" s="871">
        <v>3815.1289999999995</v>
      </c>
      <c r="AJ40" s="878">
        <v>226.33500000000001</v>
      </c>
      <c r="AK40" s="870"/>
      <c r="AL40" s="867">
        <f>AE40+(AE40*$AP$118)</f>
        <v>41491.215766000001</v>
      </c>
      <c r="AM40" s="867">
        <f>AF40+(AF40*$AP$118)</f>
        <v>49081.661629000002</v>
      </c>
      <c r="AN40" s="146">
        <f t="shared" si="2"/>
        <v>90572.877395000003</v>
      </c>
      <c r="AO40" s="871">
        <f>AH40+(AH40*$AP$118)</f>
        <v>3047.8708259999999</v>
      </c>
      <c r="AP40" s="871">
        <f t="shared" ref="AP40:AQ40" si="35">AI40+(AI40*$AP$118)</f>
        <v>3818.9441289999995</v>
      </c>
      <c r="AQ40" s="879">
        <f t="shared" si="35"/>
        <v>226.56133500000001</v>
      </c>
      <c r="AR40" s="1430">
        <f>0.00214+$AU$126</f>
        <v>9.2747499999999997E-2</v>
      </c>
      <c r="AS40" s="1430">
        <f>0.00214+$AU$126</f>
        <v>9.2747499999999997E-2</v>
      </c>
      <c r="AT40" s="1430">
        <f>0.00214+$AU$126</f>
        <v>9.2747499999999997E-2</v>
      </c>
      <c r="AU40" s="282"/>
      <c r="AV40" s="281">
        <v>3.49E-2</v>
      </c>
      <c r="AW40" s="281">
        <v>1.9900000000000001E-2</v>
      </c>
      <c r="AX40" s="281"/>
      <c r="AY40" s="281"/>
      <c r="AZ40" s="891">
        <f t="shared" ref="AZ40:AZ41" si="36">100%-BA40</f>
        <v>1</v>
      </c>
      <c r="BA40" s="891">
        <v>0</v>
      </c>
      <c r="BB40" s="891">
        <f t="shared" ref="BB40:BB41" si="37">100%-BC40</f>
        <v>1</v>
      </c>
      <c r="BC40" s="891">
        <v>0</v>
      </c>
      <c r="BD40" s="306"/>
      <c r="BE40" s="306">
        <v>0.28000000000000003</v>
      </c>
      <c r="BF40" s="306">
        <v>28.45</v>
      </c>
      <c r="BG40" s="282">
        <v>6.8999999999999999E-3</v>
      </c>
      <c r="BH40" s="282">
        <v>9.2999999999999992E-3</v>
      </c>
      <c r="BI40" s="283">
        <v>2.4500000000000002</v>
      </c>
      <c r="BJ40" s="281">
        <v>8.3999999999999995E-3</v>
      </c>
      <c r="BK40" s="307">
        <v>2.0999999999999999E-3</v>
      </c>
      <c r="BL40" s="289">
        <f t="shared" si="17"/>
        <v>13065.213415339862</v>
      </c>
      <c r="BM40" s="874">
        <f t="shared" si="33"/>
        <v>13065.213415339862</v>
      </c>
      <c r="BN40" s="874" t="str">
        <f t="shared" si="34"/>
        <v>-</v>
      </c>
      <c r="BO40" s="875"/>
    </row>
    <row r="41" spans="1:67">
      <c r="A41" s="309">
        <v>36</v>
      </c>
      <c r="B41" s="1426" t="s">
        <v>461</v>
      </c>
      <c r="C41" s="1427" t="s">
        <v>852</v>
      </c>
      <c r="D41" s="856" t="s">
        <v>774</v>
      </c>
      <c r="E41" s="308" t="s">
        <v>696</v>
      </c>
      <c r="F41" s="255" t="s">
        <v>546</v>
      </c>
      <c r="G41" s="479" t="s">
        <v>553</v>
      </c>
      <c r="H41" s="923">
        <v>16</v>
      </c>
      <c r="I41" s="912"/>
      <c r="J41" s="913">
        <v>288.42899999999997</v>
      </c>
      <c r="K41" s="913">
        <v>280.18400000000003</v>
      </c>
      <c r="L41" s="146">
        <f t="shared" si="0"/>
        <v>568.61300000000006</v>
      </c>
      <c r="M41" s="877"/>
      <c r="N41" s="871"/>
      <c r="O41" s="878"/>
      <c r="P41" s="866"/>
      <c r="Q41" s="913">
        <v>231.786</v>
      </c>
      <c r="R41" s="913">
        <v>306.75599999999997</v>
      </c>
      <c r="S41" s="146">
        <f t="shared" si="1"/>
        <v>538.54199999999992</v>
      </c>
      <c r="T41" s="877"/>
      <c r="U41" s="871"/>
      <c r="V41" s="878"/>
      <c r="W41" s="866"/>
      <c r="X41" s="871">
        <v>238.62</v>
      </c>
      <c r="Y41" s="871">
        <v>323.791</v>
      </c>
      <c r="Z41" s="259">
        <f t="shared" si="8"/>
        <v>562.41100000000006</v>
      </c>
      <c r="AA41" s="962"/>
      <c r="AB41" s="871"/>
      <c r="AC41" s="878"/>
      <c r="AD41" s="866"/>
      <c r="AE41" s="871">
        <v>260.37</v>
      </c>
      <c r="AF41" s="871">
        <v>327.13499999999999</v>
      </c>
      <c r="AG41" s="259">
        <f t="shared" si="9"/>
        <v>587.505</v>
      </c>
      <c r="AH41" s="962"/>
      <c r="AI41" s="871"/>
      <c r="AJ41" s="878"/>
      <c r="AK41" s="866"/>
      <c r="AL41" s="867">
        <f>AE41+(AE41*$AP$119)</f>
        <v>260.89073999999999</v>
      </c>
      <c r="AM41" s="867">
        <f>AF41+(AF41*$AP$119)</f>
        <v>327.78926999999999</v>
      </c>
      <c r="AN41" s="146">
        <f t="shared" si="2"/>
        <v>588.68001000000004</v>
      </c>
      <c r="AO41" s="871"/>
      <c r="AP41" s="871"/>
      <c r="AQ41" s="879"/>
      <c r="AR41" s="1430">
        <f>0.00214+$AU$126</f>
        <v>9.2747499999999997E-2</v>
      </c>
      <c r="AS41" s="1430">
        <f>0.00214+$AU$126</f>
        <v>9.2747499999999997E-2</v>
      </c>
      <c r="AT41" s="1430">
        <f>0.00214+$AU$126</f>
        <v>9.2747499999999997E-2</v>
      </c>
      <c r="AU41" s="282">
        <v>7.7200000000000005E-2</v>
      </c>
      <c r="AV41" s="282"/>
      <c r="AW41" s="282"/>
      <c r="AX41" s="282"/>
      <c r="AY41" s="282"/>
      <c r="AZ41" s="873">
        <f t="shared" si="36"/>
        <v>1</v>
      </c>
      <c r="BA41" s="873">
        <v>0</v>
      </c>
      <c r="BB41" s="873">
        <f t="shared" si="37"/>
        <v>1</v>
      </c>
      <c r="BC41" s="873">
        <v>0</v>
      </c>
      <c r="BD41" s="283"/>
      <c r="BE41" s="283"/>
      <c r="BF41" s="283">
        <f>IF(H41&lt;=16,3.75,IF(AND(H41&gt;=17,H41&lt;=20),4.42,IF(AND(H41&gt;=21,H41&lt;=25),5.07,IF(AND(H41&gt;=26,H41&lt;=32),5.98,IF(AND(H41&gt;=33,H41&lt;=40),7.02,IF(AND(H41&gt;=41,H41&lt;=50),8.32,IF(AND(H41&gt;=51,H41&lt;=63),10.01)))))))</f>
        <v>3.75</v>
      </c>
      <c r="BG41" s="263"/>
      <c r="BH41" s="263"/>
      <c r="BI41" s="288"/>
      <c r="BJ41" s="281">
        <v>8.3999999999999995E-3</v>
      </c>
      <c r="BK41" s="307">
        <v>2.0999999999999999E-3</v>
      </c>
      <c r="BL41" s="289">
        <f t="shared" si="17"/>
        <v>151.22583610447501</v>
      </c>
      <c r="BM41" s="874" t="str">
        <f t="shared" si="33"/>
        <v>-</v>
      </c>
      <c r="BN41" s="874">
        <f t="shared" si="34"/>
        <v>151.22583610447501</v>
      </c>
      <c r="BO41" s="875"/>
    </row>
    <row r="42" spans="1:67">
      <c r="A42" s="309">
        <v>37</v>
      </c>
      <c r="B42" s="1426" t="s">
        <v>461</v>
      </c>
      <c r="C42" s="1426" t="s">
        <v>563</v>
      </c>
      <c r="D42" s="1428" t="s">
        <v>774</v>
      </c>
      <c r="E42" s="1425" t="s">
        <v>564</v>
      </c>
      <c r="F42" s="255" t="s">
        <v>546</v>
      </c>
      <c r="G42" s="479" t="s">
        <v>557</v>
      </c>
      <c r="H42" s="923">
        <v>10</v>
      </c>
      <c r="I42" s="912"/>
      <c r="J42" s="913">
        <v>2839.5990000000002</v>
      </c>
      <c r="K42" s="913">
        <v>2819.846</v>
      </c>
      <c r="L42" s="259">
        <f>SUM(I42:K42)</f>
        <v>5659.4449999999997</v>
      </c>
      <c r="M42" s="868"/>
      <c r="N42" s="867"/>
      <c r="O42" s="869"/>
      <c r="P42" s="866"/>
      <c r="Q42" s="913">
        <v>4411.1049999999996</v>
      </c>
      <c r="R42" s="913">
        <v>4778.558</v>
      </c>
      <c r="S42" s="259">
        <f>SUM(P42:R42)</f>
        <v>9189.6630000000005</v>
      </c>
      <c r="T42" s="868"/>
      <c r="U42" s="867"/>
      <c r="V42" s="869"/>
      <c r="W42" s="866"/>
      <c r="X42" s="867">
        <v>3226.97</v>
      </c>
      <c r="Y42" s="867">
        <v>3288.058</v>
      </c>
      <c r="Z42" s="259">
        <f>SUM(W42:Y42)</f>
        <v>6515.0280000000002</v>
      </c>
      <c r="AA42" s="963"/>
      <c r="AB42" s="867"/>
      <c r="AC42" s="869"/>
      <c r="AD42" s="866"/>
      <c r="AE42" s="871">
        <v>3127.297</v>
      </c>
      <c r="AF42" s="871">
        <v>3457.1759999999999</v>
      </c>
      <c r="AG42" s="259">
        <f>SUM(AD42:AF42)</f>
        <v>6584.473</v>
      </c>
      <c r="AH42" s="963"/>
      <c r="AI42" s="867"/>
      <c r="AJ42" s="869"/>
      <c r="AK42" s="866"/>
      <c r="AL42" s="867">
        <f>AE42+(AE42*$AP$119)</f>
        <v>3133.551594</v>
      </c>
      <c r="AM42" s="867">
        <f>AF42+(AF42*$AP$119)</f>
        <v>3464.0903519999997</v>
      </c>
      <c r="AN42" s="259">
        <f>SUM(AK42:AM42)</f>
        <v>6597.6419459999997</v>
      </c>
      <c r="AO42" s="867"/>
      <c r="AP42" s="867"/>
      <c r="AQ42" s="879"/>
      <c r="AR42" s="1430">
        <f>0.00214+$AU$126</f>
        <v>9.2747499999999997E-2</v>
      </c>
      <c r="AS42" s="1430">
        <f>0.00214+$AU$126</f>
        <v>9.2747499999999997E-2</v>
      </c>
      <c r="AT42" s="1430">
        <f>0.00214+$AU$126</f>
        <v>9.2747499999999997E-2</v>
      </c>
      <c r="AU42" s="263"/>
      <c r="AV42" s="282">
        <v>3.6900000000000002E-2</v>
      </c>
      <c r="AW42" s="282">
        <v>2.1000000000000001E-2</v>
      </c>
      <c r="AX42" s="282"/>
      <c r="AY42" s="282"/>
      <c r="AZ42" s="873">
        <f t="shared" ref="AZ42:AZ57" si="38">100%-BA42</f>
        <v>1</v>
      </c>
      <c r="BA42" s="873">
        <v>0</v>
      </c>
      <c r="BB42" s="873">
        <f t="shared" ref="BB42:BB57" si="39">100%-BC42</f>
        <v>1</v>
      </c>
      <c r="BC42" s="873">
        <v>0</v>
      </c>
      <c r="BD42" s="283"/>
      <c r="BE42" s="283"/>
      <c r="BF42" s="283">
        <f>IF(H42&lt;=16,15.46,IF(AND(H42&gt;=17,H42&lt;=20),18.97,IF(AND(H42&gt;=21,H42&lt;=25),23.02,IF(AND(H42&gt;=26,H42&lt;=32),28.69,IF(AND(H42&gt;=33,H42&lt;=40),35.17,IF(AND(H42&gt;=41,H42&lt;=50),43.27,IF(AND(H42&gt;=51,H42&lt;=63),53.8)))))))</f>
        <v>15.46</v>
      </c>
      <c r="BG42" s="282"/>
      <c r="BH42" s="282"/>
      <c r="BI42" s="283"/>
      <c r="BJ42" s="281">
        <v>8.3999999999999995E-3</v>
      </c>
      <c r="BK42" s="307">
        <v>2.0999999999999999E-3</v>
      </c>
      <c r="BL42" s="284">
        <f>(AK42*AR42)+(AL42*AS42)+(AM42*AT42)+(AN42*AU42)+((AL42*AV42)*AZ42)+((AL42*AX42)*BA42)+((AM42*AW42)*BB42)+((AM42*AY42)*BC42)+(BD42*12)+(H42*BE42*12)+(BF42*12)+(AO42*BG42)+(AP42*BH42)+(AQ42*BI42)+(BJ42*AN42)+(BK42*AN42)</f>
        <v>1055.0839880302349</v>
      </c>
      <c r="BM42" s="929" t="str">
        <f t="shared" si="33"/>
        <v>-</v>
      </c>
      <c r="BN42" s="929">
        <f t="shared" si="34"/>
        <v>1055.0839880302349</v>
      </c>
      <c r="BO42" s="875"/>
    </row>
    <row r="43" spans="1:67">
      <c r="A43" s="309">
        <v>38</v>
      </c>
      <c r="B43" s="1429" t="s">
        <v>604</v>
      </c>
      <c r="C43" s="1427" t="s">
        <v>862</v>
      </c>
      <c r="D43" s="856" t="s">
        <v>773</v>
      </c>
      <c r="E43" s="308" t="s">
        <v>665</v>
      </c>
      <c r="F43" s="279" t="s">
        <v>546</v>
      </c>
      <c r="G43" s="254" t="s">
        <v>557</v>
      </c>
      <c r="H43" s="922">
        <v>63</v>
      </c>
      <c r="I43" s="918"/>
      <c r="J43" s="919">
        <v>12929.347</v>
      </c>
      <c r="K43" s="919">
        <v>12758.511</v>
      </c>
      <c r="L43" s="146">
        <f>SUM(I43:K43)</f>
        <v>25687.858</v>
      </c>
      <c r="M43" s="877"/>
      <c r="N43" s="871"/>
      <c r="O43" s="878"/>
      <c r="P43" s="870"/>
      <c r="Q43" s="919">
        <v>12654.472</v>
      </c>
      <c r="R43" s="919">
        <v>14137.878000000001</v>
      </c>
      <c r="S43" s="146">
        <f>SUM(P43:R43)</f>
        <v>26792.35</v>
      </c>
      <c r="T43" s="877"/>
      <c r="U43" s="871"/>
      <c r="V43" s="878"/>
      <c r="W43" s="870"/>
      <c r="X43" s="871">
        <v>14133.67</v>
      </c>
      <c r="Y43" s="871">
        <v>15141.968999999999</v>
      </c>
      <c r="Z43" s="146">
        <f>SUM(W43:Y43)</f>
        <v>29275.638999999999</v>
      </c>
      <c r="AA43" s="962"/>
      <c r="AB43" s="871"/>
      <c r="AC43" s="878"/>
      <c r="AD43" s="870"/>
      <c r="AE43" s="871">
        <v>12579.99</v>
      </c>
      <c r="AF43" s="871">
        <v>13409.084999999999</v>
      </c>
      <c r="AG43" s="146">
        <f>SUM(AD43:AF43)</f>
        <v>25989.074999999997</v>
      </c>
      <c r="AH43" s="962"/>
      <c r="AI43" s="871"/>
      <c r="AJ43" s="878"/>
      <c r="AK43" s="870"/>
      <c r="AL43" s="867">
        <f>AE43+(AE43*$AP$118)</f>
        <v>12592.56999</v>
      </c>
      <c r="AM43" s="867">
        <f>AF43+(AF43*$AP$118)</f>
        <v>13422.494084999998</v>
      </c>
      <c r="AN43" s="146">
        <f>SUM(AK43:AM43)</f>
        <v>26015.064074999998</v>
      </c>
      <c r="AO43" s="871"/>
      <c r="AP43" s="871"/>
      <c r="AQ43" s="890"/>
      <c r="AR43" s="1430">
        <f>0.00214+$AU$126</f>
        <v>9.2747499999999997E-2</v>
      </c>
      <c r="AS43" s="1430">
        <f>0.00214+$AU$126</f>
        <v>9.2747499999999997E-2</v>
      </c>
      <c r="AT43" s="1430">
        <f>0.00214+$AU$126</f>
        <v>9.2747499999999997E-2</v>
      </c>
      <c r="AU43" s="263"/>
      <c r="AV43" s="282">
        <v>3.6900000000000002E-2</v>
      </c>
      <c r="AW43" s="282">
        <v>2.1000000000000001E-2</v>
      </c>
      <c r="AX43" s="282"/>
      <c r="AY43" s="282"/>
      <c r="AZ43" s="873">
        <f t="shared" si="38"/>
        <v>1</v>
      </c>
      <c r="BA43" s="873">
        <v>0</v>
      </c>
      <c r="BB43" s="873">
        <f t="shared" si="39"/>
        <v>1</v>
      </c>
      <c r="BC43" s="873">
        <v>0</v>
      </c>
      <c r="BD43" s="283"/>
      <c r="BE43" s="283"/>
      <c r="BF43" s="283">
        <f>IF(H43&lt;=16,15.46,IF(AND(H43&gt;=17,H43&lt;=20),18.97,IF(AND(H43&gt;=21,H43&lt;=25),23.02,IF(AND(H43&gt;=26,H43&lt;=32),28.69,IF(AND(H43&gt;=33,H43&lt;=40),35.17,IF(AND(H43&gt;=41,H43&lt;=50),43.27,IF(AND(H43&gt;=51,H43&lt;=63),53.8)))))))</f>
        <v>53.8</v>
      </c>
      <c r="BG43" s="282"/>
      <c r="BH43" s="282"/>
      <c r="BI43" s="283"/>
      <c r="BJ43" s="281">
        <v>8.3999999999999995E-3</v>
      </c>
      <c r="BK43" s="307">
        <v>2.0999999999999999E-3</v>
      </c>
      <c r="BL43" s="289">
        <f>(AK43*AR43)+(AL43*AS43)+(AM43*AT43)+(AN43*AU43)+((AL43*AV43)*AZ43)+((AL43*AX43)*BA43)+((AM43*AW43)*BB43)+((AM43*AY43)*BC43)+(BD43*12)+(H43*BE43*12)+(BF43*12)+(AO43*BG43)+(AP43*BH43)+(AQ43*BI43)+(BJ43*AN43)+(BK43*AN43)</f>
        <v>4078.128536499562</v>
      </c>
      <c r="BM43" s="874">
        <f t="shared" si="33"/>
        <v>4078.128536499562</v>
      </c>
      <c r="BN43" s="874" t="str">
        <f t="shared" si="34"/>
        <v>-</v>
      </c>
      <c r="BO43" s="892"/>
    </row>
    <row r="44" spans="1:67">
      <c r="A44" s="309">
        <v>39</v>
      </c>
      <c r="B44" s="1426" t="s">
        <v>604</v>
      </c>
      <c r="C44" s="1427" t="s">
        <v>1061</v>
      </c>
      <c r="D44" s="856" t="s">
        <v>774</v>
      </c>
      <c r="E44" s="308" t="s">
        <v>1062</v>
      </c>
      <c r="F44" s="255" t="s">
        <v>546</v>
      </c>
      <c r="G44" s="479" t="s">
        <v>553</v>
      </c>
      <c r="H44" s="923">
        <v>32</v>
      </c>
      <c r="I44" s="912"/>
      <c r="J44" s="949" t="s">
        <v>349</v>
      </c>
      <c r="K44" s="949" t="s">
        <v>349</v>
      </c>
      <c r="L44" s="146">
        <f t="shared" ref="L44" si="40">SUM(I44:K44)</f>
        <v>0</v>
      </c>
      <c r="M44" s="877"/>
      <c r="N44" s="871"/>
      <c r="O44" s="878"/>
      <c r="P44" s="866"/>
      <c r="Q44" s="949" t="s">
        <v>349</v>
      </c>
      <c r="R44" s="949" t="s">
        <v>349</v>
      </c>
      <c r="S44" s="146">
        <f t="shared" ref="S44" si="41">SUM(P44:R44)</f>
        <v>0</v>
      </c>
      <c r="T44" s="877"/>
      <c r="U44" s="871"/>
      <c r="V44" s="878"/>
      <c r="W44" s="866"/>
      <c r="X44" s="871">
        <v>109.28400000000001</v>
      </c>
      <c r="Y44" s="871">
        <v>156.25399999999999</v>
      </c>
      <c r="Z44" s="259">
        <f>SUM(W44:Y44)</f>
        <v>265.53800000000001</v>
      </c>
      <c r="AA44" s="962"/>
      <c r="AB44" s="871"/>
      <c r="AC44" s="878"/>
      <c r="AD44" s="866"/>
      <c r="AE44" s="948">
        <v>216.15600000000001</v>
      </c>
      <c r="AF44" s="948">
        <v>309.71199999999999</v>
      </c>
      <c r="AG44" s="259">
        <f>SUM(AD44:AF44)</f>
        <v>525.86799999999994</v>
      </c>
      <c r="AH44" s="962"/>
      <c r="AI44" s="871"/>
      <c r="AJ44" s="878"/>
      <c r="AK44" s="866"/>
      <c r="AL44" s="867">
        <f t="shared" ref="AL44:AL57" si="42">AE44+(AE44*$AP$119)</f>
        <v>216.588312</v>
      </c>
      <c r="AM44" s="867">
        <f t="shared" ref="AM44:AM57" si="43">AF44+(AF44*$AP$119)</f>
        <v>310.33142399999997</v>
      </c>
      <c r="AN44" s="146">
        <f>SUM(AK44:AM44)</f>
        <v>526.91973599999994</v>
      </c>
      <c r="AO44" s="871"/>
      <c r="AP44" s="871"/>
      <c r="AQ44" s="879"/>
      <c r="AR44" s="1430">
        <f>0.00214+$AU$126</f>
        <v>9.2747499999999997E-2</v>
      </c>
      <c r="AS44" s="1430">
        <f>0.00214+$AU$126</f>
        <v>9.2747499999999997E-2</v>
      </c>
      <c r="AT44" s="1430">
        <f>0.00214+$AU$126</f>
        <v>9.2747499999999997E-2</v>
      </c>
      <c r="AU44" s="282">
        <v>7.7200000000000005E-2</v>
      </c>
      <c r="AV44" s="282"/>
      <c r="AW44" s="282"/>
      <c r="AX44" s="282"/>
      <c r="AY44" s="282"/>
      <c r="AZ44" s="873">
        <f t="shared" si="38"/>
        <v>1</v>
      </c>
      <c r="BA44" s="873">
        <v>0</v>
      </c>
      <c r="BB44" s="873">
        <f t="shared" si="39"/>
        <v>1</v>
      </c>
      <c r="BC44" s="873">
        <v>0</v>
      </c>
      <c r="BD44" s="283"/>
      <c r="BE44" s="283"/>
      <c r="BF44" s="283">
        <f>IF(H44&lt;=16,3.75,IF(AND(H44&gt;=17,H44&lt;=20),4.42,IF(AND(H44&gt;=21,H44&lt;=25),5.07,IF(AND(H44&gt;=26,H44&lt;=32),5.98,IF(AND(H44&gt;=33,H44&lt;=40),7.02,IF(AND(H44&gt;=41,H44&lt;=50),8.32,IF(AND(H44&gt;=51,H44&lt;=63),10.01)))))))</f>
        <v>5.98</v>
      </c>
      <c r="BG44" s="263"/>
      <c r="BH44" s="263"/>
      <c r="BI44" s="288"/>
      <c r="BJ44" s="281">
        <v>8.3999999999999995E-3</v>
      </c>
      <c r="BK44" s="307">
        <v>2.0999999999999999E-3</v>
      </c>
      <c r="BL44" s="289">
        <f>(AK44*AR44)+(AL44*AS44)+(AM44*AT44)+(AN44*AU44)+((AL44*AV44)*AZ44)+((AL44*AX44)*BA44)+((AM44*AW44)*BB44)+((AM44*AY44)*BC44)+(BD44*12)+(H44*BE44*12)+(BF44*12)+(AO44*BG44)+(AP44*BH44)+(AQ44*BI44)+(BJ44*AN44)+(BK44*AN44)</f>
        <v>166.84134906186</v>
      </c>
      <c r="BM44" s="874" t="str">
        <f t="shared" si="33"/>
        <v>-</v>
      </c>
      <c r="BN44" s="874">
        <f t="shared" si="34"/>
        <v>166.84134906186</v>
      </c>
      <c r="BO44" s="875"/>
    </row>
    <row r="45" spans="1:67">
      <c r="A45" s="309">
        <v>40</v>
      </c>
      <c r="B45" s="1426" t="s">
        <v>604</v>
      </c>
      <c r="C45" s="1427" t="s">
        <v>687</v>
      </c>
      <c r="D45" s="856" t="s">
        <v>774</v>
      </c>
      <c r="E45" s="308" t="s">
        <v>824</v>
      </c>
      <c r="F45" s="255" t="s">
        <v>546</v>
      </c>
      <c r="G45" s="479" t="s">
        <v>554</v>
      </c>
      <c r="H45" s="923">
        <v>63</v>
      </c>
      <c r="I45" s="912"/>
      <c r="J45" s="949" t="s">
        <v>349</v>
      </c>
      <c r="K45" s="949" t="s">
        <v>349</v>
      </c>
      <c r="L45" s="146">
        <f t="shared" si="0"/>
        <v>0</v>
      </c>
      <c r="M45" s="877"/>
      <c r="N45" s="871"/>
      <c r="O45" s="878"/>
      <c r="P45" s="866"/>
      <c r="Q45" s="913">
        <v>1731.836</v>
      </c>
      <c r="R45" s="913">
        <v>1865.1030000000001</v>
      </c>
      <c r="S45" s="146">
        <f t="shared" si="1"/>
        <v>3596.9390000000003</v>
      </c>
      <c r="T45" s="877"/>
      <c r="U45" s="871"/>
      <c r="V45" s="878"/>
      <c r="W45" s="866"/>
      <c r="X45" s="871">
        <v>3243.288</v>
      </c>
      <c r="Y45" s="871">
        <v>3835.8119999999999</v>
      </c>
      <c r="Z45" s="259">
        <f t="shared" si="8"/>
        <v>7079.1</v>
      </c>
      <c r="AA45" s="962"/>
      <c r="AB45" s="871"/>
      <c r="AC45" s="878"/>
      <c r="AD45" s="866"/>
      <c r="AE45" s="871">
        <v>3319.846</v>
      </c>
      <c r="AF45" s="871">
        <v>4109.393</v>
      </c>
      <c r="AG45" s="259">
        <f t="shared" ref="AG45:AG95" si="44">SUM(AD45:AF45)</f>
        <v>7429.2389999999996</v>
      </c>
      <c r="AH45" s="962"/>
      <c r="AI45" s="871"/>
      <c r="AJ45" s="878"/>
      <c r="AK45" s="866"/>
      <c r="AL45" s="867">
        <f t="shared" si="42"/>
        <v>3326.4856920000002</v>
      </c>
      <c r="AM45" s="867">
        <f t="shared" si="43"/>
        <v>4117.6117860000004</v>
      </c>
      <c r="AN45" s="146">
        <f t="shared" si="2"/>
        <v>7444.0974780000006</v>
      </c>
      <c r="AO45" s="871"/>
      <c r="AP45" s="871"/>
      <c r="AQ45" s="879"/>
      <c r="AR45" s="1430">
        <f>0.00214+$AU$126</f>
        <v>9.2747499999999997E-2</v>
      </c>
      <c r="AS45" s="1430">
        <f>0.00214+$AU$126</f>
        <v>9.2747499999999997E-2</v>
      </c>
      <c r="AT45" s="1430">
        <f>0.00214+$AU$126</f>
        <v>9.2747499999999997E-2</v>
      </c>
      <c r="AU45" s="263"/>
      <c r="AV45" s="282">
        <v>6.0699999999999997E-2</v>
      </c>
      <c r="AW45" s="282">
        <v>3.5099999999999999E-2</v>
      </c>
      <c r="AX45" s="282"/>
      <c r="AY45" s="282"/>
      <c r="AZ45" s="873">
        <f t="shared" si="38"/>
        <v>1</v>
      </c>
      <c r="BA45" s="873">
        <v>0</v>
      </c>
      <c r="BB45" s="873">
        <f t="shared" si="39"/>
        <v>1</v>
      </c>
      <c r="BC45" s="873">
        <v>0</v>
      </c>
      <c r="BD45" s="283"/>
      <c r="BE45" s="283"/>
      <c r="BF45" s="283">
        <f t="shared" ref="BF45:BF57" si="45">IF(H45&lt;=16,5.64,IF(AND(H45&gt;=17,H45&lt;=20),7.02,IF(AND(H45&gt;=21,H45&lt;=25),8.32,IF(AND(H45&gt;=26,H45&lt;=32),10.14,IF(AND(H45&gt;=33,H45&lt;=40),12.22,IF(AND(H45&gt;=41,H45&lt;=50),14.82,IF(AND(H45&gt;=51,H45&lt;=63),18.2)))))))</f>
        <v>18.2</v>
      </c>
      <c r="BG45" s="263"/>
      <c r="BH45" s="263"/>
      <c r="BI45" s="288"/>
      <c r="BJ45" s="281">
        <v>8.3999999999999995E-3</v>
      </c>
      <c r="BK45" s="307">
        <v>2.0999999999999999E-3</v>
      </c>
      <c r="BL45" s="289">
        <f t="shared" si="17"/>
        <v>1333.4303095528048</v>
      </c>
      <c r="BM45" s="874" t="str">
        <f t="shared" si="33"/>
        <v>-</v>
      </c>
      <c r="BN45" s="874">
        <f t="shared" si="34"/>
        <v>1333.4303095528048</v>
      </c>
      <c r="BO45" s="875"/>
    </row>
    <row r="46" spans="1:67">
      <c r="A46" s="309">
        <v>41</v>
      </c>
      <c r="B46" s="1426" t="s">
        <v>604</v>
      </c>
      <c r="C46" s="1427" t="s">
        <v>843</v>
      </c>
      <c r="D46" s="856" t="s">
        <v>774</v>
      </c>
      <c r="E46" s="308" t="s">
        <v>844</v>
      </c>
      <c r="F46" s="255" t="s">
        <v>546</v>
      </c>
      <c r="G46" s="479" t="s">
        <v>554</v>
      </c>
      <c r="H46" s="923">
        <v>16</v>
      </c>
      <c r="I46" s="912"/>
      <c r="J46" s="913">
        <v>293.72300000000001</v>
      </c>
      <c r="K46" s="913">
        <v>365.84899999999999</v>
      </c>
      <c r="L46" s="146">
        <f t="shared" si="0"/>
        <v>659.572</v>
      </c>
      <c r="M46" s="877"/>
      <c r="N46" s="871"/>
      <c r="O46" s="878"/>
      <c r="P46" s="866"/>
      <c r="Q46" s="913">
        <v>301.02600000000001</v>
      </c>
      <c r="R46" s="913">
        <v>411.09</v>
      </c>
      <c r="S46" s="146">
        <f t="shared" si="1"/>
        <v>712.11599999999999</v>
      </c>
      <c r="T46" s="877"/>
      <c r="U46" s="871"/>
      <c r="V46" s="878"/>
      <c r="W46" s="866"/>
      <c r="X46" s="871">
        <v>332.71899999999999</v>
      </c>
      <c r="Y46" s="871">
        <v>458.971</v>
      </c>
      <c r="Z46" s="259">
        <f t="shared" si="8"/>
        <v>791.69</v>
      </c>
      <c r="AA46" s="962"/>
      <c r="AB46" s="871"/>
      <c r="AC46" s="878"/>
      <c r="AD46" s="866"/>
      <c r="AE46" s="871">
        <v>332.12900000000002</v>
      </c>
      <c r="AF46" s="871">
        <v>436.80799999999999</v>
      </c>
      <c r="AG46" s="259">
        <f t="shared" si="44"/>
        <v>768.93700000000001</v>
      </c>
      <c r="AH46" s="962"/>
      <c r="AI46" s="871"/>
      <c r="AJ46" s="878"/>
      <c r="AK46" s="866"/>
      <c r="AL46" s="867">
        <f t="shared" si="42"/>
        <v>332.79325800000004</v>
      </c>
      <c r="AM46" s="867">
        <f t="shared" si="43"/>
        <v>437.68161600000002</v>
      </c>
      <c r="AN46" s="146">
        <f t="shared" si="2"/>
        <v>770.474874</v>
      </c>
      <c r="AO46" s="871"/>
      <c r="AP46" s="871"/>
      <c r="AQ46" s="879"/>
      <c r="AR46" s="1430">
        <f>0.00214+$AU$126</f>
        <v>9.2747499999999997E-2</v>
      </c>
      <c r="AS46" s="1430">
        <f>0.00214+$AU$126</f>
        <v>9.2747499999999997E-2</v>
      </c>
      <c r="AT46" s="1430">
        <f>0.00214+$AU$126</f>
        <v>9.2747499999999997E-2</v>
      </c>
      <c r="AU46" s="263"/>
      <c r="AV46" s="282">
        <v>6.0699999999999997E-2</v>
      </c>
      <c r="AW46" s="282">
        <v>3.5099999999999999E-2</v>
      </c>
      <c r="AX46" s="282"/>
      <c r="AY46" s="282"/>
      <c r="AZ46" s="873">
        <f t="shared" si="38"/>
        <v>1</v>
      </c>
      <c r="BA46" s="873">
        <v>0</v>
      </c>
      <c r="BB46" s="873">
        <f t="shared" si="39"/>
        <v>1</v>
      </c>
      <c r="BC46" s="873">
        <v>0</v>
      </c>
      <c r="BD46" s="283"/>
      <c r="BE46" s="283"/>
      <c r="BF46" s="283">
        <f t="shared" si="45"/>
        <v>5.64</v>
      </c>
      <c r="BG46" s="263"/>
      <c r="BH46" s="263"/>
      <c r="BI46" s="288"/>
      <c r="BJ46" s="281">
        <v>8.3999999999999995E-3</v>
      </c>
      <c r="BK46" s="307">
        <v>2.0999999999999999E-3</v>
      </c>
      <c r="BL46" s="289">
        <f t="shared" si="17"/>
        <v>182.79278003551499</v>
      </c>
      <c r="BM46" s="874" t="str">
        <f t="shared" si="33"/>
        <v>-</v>
      </c>
      <c r="BN46" s="874">
        <f t="shared" si="34"/>
        <v>182.79278003551499</v>
      </c>
      <c r="BO46" s="875"/>
    </row>
    <row r="47" spans="1:67">
      <c r="A47" s="309">
        <v>42</v>
      </c>
      <c r="B47" s="1426" t="s">
        <v>604</v>
      </c>
      <c r="C47" s="1427" t="s">
        <v>832</v>
      </c>
      <c r="D47" s="856" t="s">
        <v>774</v>
      </c>
      <c r="E47" s="308" t="s">
        <v>831</v>
      </c>
      <c r="F47" s="255" t="s">
        <v>546</v>
      </c>
      <c r="G47" s="479" t="s">
        <v>554</v>
      </c>
      <c r="H47" s="923">
        <v>16</v>
      </c>
      <c r="I47" s="912"/>
      <c r="J47" s="913">
        <v>0</v>
      </c>
      <c r="K47" s="913">
        <v>0</v>
      </c>
      <c r="L47" s="146">
        <f t="shared" si="0"/>
        <v>0</v>
      </c>
      <c r="M47" s="877"/>
      <c r="N47" s="871"/>
      <c r="O47" s="878"/>
      <c r="P47" s="866"/>
      <c r="Q47" s="913">
        <v>276.52199999999999</v>
      </c>
      <c r="R47" s="913">
        <v>399.25599999999997</v>
      </c>
      <c r="S47" s="146">
        <f t="shared" si="1"/>
        <v>675.77800000000002</v>
      </c>
      <c r="T47" s="877"/>
      <c r="U47" s="871"/>
      <c r="V47" s="878"/>
      <c r="W47" s="866"/>
      <c r="X47" s="871">
        <v>288.46300000000002</v>
      </c>
      <c r="Y47" s="871">
        <v>432.83</v>
      </c>
      <c r="Z47" s="259">
        <f t="shared" si="8"/>
        <v>721.29300000000001</v>
      </c>
      <c r="AA47" s="962"/>
      <c r="AB47" s="871"/>
      <c r="AC47" s="878"/>
      <c r="AD47" s="866"/>
      <c r="AE47" s="871">
        <v>278.73500000000001</v>
      </c>
      <c r="AF47" s="871">
        <v>398.01900000000001</v>
      </c>
      <c r="AG47" s="259">
        <f t="shared" si="44"/>
        <v>676.75400000000002</v>
      </c>
      <c r="AH47" s="962"/>
      <c r="AI47" s="871"/>
      <c r="AJ47" s="878"/>
      <c r="AK47" s="866"/>
      <c r="AL47" s="867">
        <f t="shared" si="42"/>
        <v>279.29247000000004</v>
      </c>
      <c r="AM47" s="867">
        <f t="shared" si="43"/>
        <v>398.81503800000002</v>
      </c>
      <c r="AN47" s="146">
        <f t="shared" si="2"/>
        <v>678.10750800000005</v>
      </c>
      <c r="AO47" s="871"/>
      <c r="AP47" s="871"/>
      <c r="AQ47" s="879"/>
      <c r="AR47" s="1430">
        <f>0.00214+$AU$126</f>
        <v>9.2747499999999997E-2</v>
      </c>
      <c r="AS47" s="1430">
        <f>0.00214+$AU$126</f>
        <v>9.2747499999999997E-2</v>
      </c>
      <c r="AT47" s="1430">
        <f>0.00214+$AU$126</f>
        <v>9.2747499999999997E-2</v>
      </c>
      <c r="AU47" s="263"/>
      <c r="AV47" s="282">
        <v>6.0699999999999997E-2</v>
      </c>
      <c r="AW47" s="282">
        <v>3.5099999999999999E-2</v>
      </c>
      <c r="AX47" s="282"/>
      <c r="AY47" s="282"/>
      <c r="AZ47" s="873">
        <f t="shared" si="38"/>
        <v>1</v>
      </c>
      <c r="BA47" s="873">
        <v>0</v>
      </c>
      <c r="BB47" s="873">
        <f t="shared" si="39"/>
        <v>1</v>
      </c>
      <c r="BC47" s="873">
        <v>0</v>
      </c>
      <c r="BD47" s="283"/>
      <c r="BE47" s="283"/>
      <c r="BF47" s="283">
        <f t="shared" si="45"/>
        <v>5.64</v>
      </c>
      <c r="BG47" s="263"/>
      <c r="BH47" s="263"/>
      <c r="BI47" s="288"/>
      <c r="BJ47" s="281">
        <v>8.3999999999999995E-3</v>
      </c>
      <c r="BK47" s="307">
        <v>2.0999999999999999E-3</v>
      </c>
      <c r="BL47" s="289">
        <f t="shared" si="17"/>
        <v>168.64436569502999</v>
      </c>
      <c r="BM47" s="874" t="str">
        <f t="shared" si="33"/>
        <v>-</v>
      </c>
      <c r="BN47" s="874">
        <f t="shared" si="34"/>
        <v>168.64436569502999</v>
      </c>
      <c r="BO47" s="875"/>
    </row>
    <row r="48" spans="1:67">
      <c r="A48" s="309">
        <v>43</v>
      </c>
      <c r="B48" s="1426" t="s">
        <v>604</v>
      </c>
      <c r="C48" s="1427" t="s">
        <v>837</v>
      </c>
      <c r="D48" s="856" t="s">
        <v>774</v>
      </c>
      <c r="E48" s="308" t="s">
        <v>838</v>
      </c>
      <c r="F48" s="255" t="s">
        <v>546</v>
      </c>
      <c r="G48" s="479" t="s">
        <v>554</v>
      </c>
      <c r="H48" s="923">
        <v>16</v>
      </c>
      <c r="I48" s="912"/>
      <c r="J48" s="913">
        <v>0</v>
      </c>
      <c r="K48" s="913">
        <v>0</v>
      </c>
      <c r="L48" s="146">
        <f t="shared" si="0"/>
        <v>0</v>
      </c>
      <c r="M48" s="877"/>
      <c r="N48" s="871"/>
      <c r="O48" s="878"/>
      <c r="P48" s="866"/>
      <c r="Q48" s="913">
        <v>282.39299999999997</v>
      </c>
      <c r="R48" s="913">
        <v>381.01299999999998</v>
      </c>
      <c r="S48" s="146">
        <f t="shared" si="1"/>
        <v>663.40599999999995</v>
      </c>
      <c r="T48" s="877"/>
      <c r="U48" s="871"/>
      <c r="V48" s="878"/>
      <c r="W48" s="866"/>
      <c r="X48" s="871">
        <v>356.20100000000002</v>
      </c>
      <c r="Y48" s="871">
        <v>491.85899999999998</v>
      </c>
      <c r="Z48" s="259">
        <f t="shared" si="8"/>
        <v>848.06</v>
      </c>
      <c r="AA48" s="962"/>
      <c r="AB48" s="871"/>
      <c r="AC48" s="878"/>
      <c r="AD48" s="866"/>
      <c r="AE48" s="871">
        <v>761.56500000000005</v>
      </c>
      <c r="AF48" s="871">
        <v>1094.9169999999999</v>
      </c>
      <c r="AG48" s="259">
        <f t="shared" si="44"/>
        <v>1856.482</v>
      </c>
      <c r="AH48" s="962"/>
      <c r="AI48" s="871"/>
      <c r="AJ48" s="878"/>
      <c r="AK48" s="866"/>
      <c r="AL48" s="867">
        <f t="shared" si="42"/>
        <v>763.08813000000009</v>
      </c>
      <c r="AM48" s="867">
        <f t="shared" si="43"/>
        <v>1097.1068339999999</v>
      </c>
      <c r="AN48" s="146">
        <f t="shared" si="2"/>
        <v>1860.194964</v>
      </c>
      <c r="AO48" s="871"/>
      <c r="AP48" s="871"/>
      <c r="AQ48" s="879"/>
      <c r="AR48" s="1430">
        <f>0.00214+$AU$126</f>
        <v>9.2747499999999997E-2</v>
      </c>
      <c r="AS48" s="1430">
        <f>0.00214+$AU$126</f>
        <v>9.2747499999999997E-2</v>
      </c>
      <c r="AT48" s="1430">
        <f>0.00214+$AU$126</f>
        <v>9.2747499999999997E-2</v>
      </c>
      <c r="AU48" s="263"/>
      <c r="AV48" s="282">
        <v>6.0699999999999997E-2</v>
      </c>
      <c r="AW48" s="282">
        <v>3.5099999999999999E-2</v>
      </c>
      <c r="AX48" s="282"/>
      <c r="AY48" s="282"/>
      <c r="AZ48" s="873">
        <f t="shared" si="38"/>
        <v>1</v>
      </c>
      <c r="BA48" s="873">
        <v>0</v>
      </c>
      <c r="BB48" s="873">
        <f t="shared" si="39"/>
        <v>1</v>
      </c>
      <c r="BC48" s="873">
        <v>0</v>
      </c>
      <c r="BD48" s="283"/>
      <c r="BE48" s="283"/>
      <c r="BF48" s="283">
        <f t="shared" si="45"/>
        <v>5.64</v>
      </c>
      <c r="BG48" s="263"/>
      <c r="BH48" s="263"/>
      <c r="BI48" s="288"/>
      <c r="BJ48" s="281">
        <v>8.3999999999999995E-3</v>
      </c>
      <c r="BK48" s="307">
        <v>2.0999999999999999E-3</v>
      </c>
      <c r="BL48" s="289">
        <f t="shared" si="17"/>
        <v>344.56837890999003</v>
      </c>
      <c r="BM48" s="874" t="str">
        <f t="shared" si="33"/>
        <v>-</v>
      </c>
      <c r="BN48" s="874">
        <f t="shared" si="34"/>
        <v>344.56837890999003</v>
      </c>
      <c r="BO48" s="875"/>
    </row>
    <row r="49" spans="1:68">
      <c r="A49" s="309">
        <v>44</v>
      </c>
      <c r="B49" s="1426" t="s">
        <v>604</v>
      </c>
      <c r="C49" s="1427" t="s">
        <v>835</v>
      </c>
      <c r="D49" s="856" t="s">
        <v>774</v>
      </c>
      <c r="E49" s="308" t="s">
        <v>836</v>
      </c>
      <c r="F49" s="255" t="s">
        <v>546</v>
      </c>
      <c r="G49" s="479" t="s">
        <v>554</v>
      </c>
      <c r="H49" s="923">
        <v>16</v>
      </c>
      <c r="I49" s="912"/>
      <c r="J49" s="913">
        <v>0</v>
      </c>
      <c r="K49" s="913">
        <v>0</v>
      </c>
      <c r="L49" s="146">
        <f t="shared" si="0"/>
        <v>0</v>
      </c>
      <c r="M49" s="877"/>
      <c r="N49" s="871"/>
      <c r="O49" s="878"/>
      <c r="P49" s="866"/>
      <c r="Q49" s="913">
        <v>447.48099999999999</v>
      </c>
      <c r="R49" s="913">
        <v>605.14499999999998</v>
      </c>
      <c r="S49" s="146">
        <f t="shared" si="1"/>
        <v>1052.626</v>
      </c>
      <c r="T49" s="877"/>
      <c r="U49" s="871"/>
      <c r="V49" s="878"/>
      <c r="W49" s="866"/>
      <c r="X49" s="871">
        <v>712.26700000000005</v>
      </c>
      <c r="Y49" s="871">
        <v>988.46900000000005</v>
      </c>
      <c r="Z49" s="259">
        <f t="shared" si="8"/>
        <v>1700.7360000000001</v>
      </c>
      <c r="AA49" s="962"/>
      <c r="AB49" s="871"/>
      <c r="AC49" s="878"/>
      <c r="AD49" s="866"/>
      <c r="AE49" s="871">
        <v>632.15300000000002</v>
      </c>
      <c r="AF49" s="871">
        <v>839.88300000000004</v>
      </c>
      <c r="AG49" s="259">
        <f t="shared" si="44"/>
        <v>1472.0360000000001</v>
      </c>
      <c r="AH49" s="962"/>
      <c r="AI49" s="871"/>
      <c r="AJ49" s="878"/>
      <c r="AK49" s="866"/>
      <c r="AL49" s="867">
        <f t="shared" si="42"/>
        <v>633.41730600000005</v>
      </c>
      <c r="AM49" s="867">
        <f t="shared" si="43"/>
        <v>841.56276600000001</v>
      </c>
      <c r="AN49" s="146">
        <f t="shared" si="2"/>
        <v>1474.9800720000001</v>
      </c>
      <c r="AO49" s="871"/>
      <c r="AP49" s="871"/>
      <c r="AQ49" s="879"/>
      <c r="AR49" s="1430">
        <f>0.00214+$AU$126</f>
        <v>9.2747499999999997E-2</v>
      </c>
      <c r="AS49" s="1430">
        <f>0.00214+$AU$126</f>
        <v>9.2747499999999997E-2</v>
      </c>
      <c r="AT49" s="1430">
        <f>0.00214+$AU$126</f>
        <v>9.2747499999999997E-2</v>
      </c>
      <c r="AU49" s="263"/>
      <c r="AV49" s="282">
        <v>6.0699999999999997E-2</v>
      </c>
      <c r="AW49" s="282">
        <v>3.5099999999999999E-2</v>
      </c>
      <c r="AX49" s="282"/>
      <c r="AY49" s="282"/>
      <c r="AZ49" s="873">
        <f t="shared" si="38"/>
        <v>1</v>
      </c>
      <c r="BA49" s="873">
        <v>0</v>
      </c>
      <c r="BB49" s="873">
        <f t="shared" si="39"/>
        <v>1</v>
      </c>
      <c r="BC49" s="873">
        <v>0</v>
      </c>
      <c r="BD49" s="283"/>
      <c r="BE49" s="283"/>
      <c r="BF49" s="283">
        <f t="shared" si="45"/>
        <v>5.64</v>
      </c>
      <c r="BG49" s="263"/>
      <c r="BH49" s="263"/>
      <c r="BI49" s="288"/>
      <c r="BJ49" s="281">
        <v>8.3999999999999995E-3</v>
      </c>
      <c r="BK49" s="307">
        <v>2.0999999999999999E-3</v>
      </c>
      <c r="BL49" s="289">
        <f t="shared" si="17"/>
        <v>287.95528854461998</v>
      </c>
      <c r="BM49" s="874" t="str">
        <f t="shared" si="33"/>
        <v>-</v>
      </c>
      <c r="BN49" s="874">
        <f t="shared" si="34"/>
        <v>287.95528854461998</v>
      </c>
      <c r="BO49" s="875"/>
    </row>
    <row r="50" spans="1:68">
      <c r="A50" s="309">
        <v>45</v>
      </c>
      <c r="B50" s="1426" t="s">
        <v>604</v>
      </c>
      <c r="C50" s="1427" t="s">
        <v>828</v>
      </c>
      <c r="D50" s="856" t="s">
        <v>774</v>
      </c>
      <c r="E50" s="308" t="s">
        <v>827</v>
      </c>
      <c r="F50" s="255" t="s">
        <v>546</v>
      </c>
      <c r="G50" s="479" t="s">
        <v>554</v>
      </c>
      <c r="H50" s="923">
        <v>16</v>
      </c>
      <c r="I50" s="912"/>
      <c r="J50" s="913">
        <v>0</v>
      </c>
      <c r="K50" s="913">
        <v>0</v>
      </c>
      <c r="L50" s="146">
        <f t="shared" si="0"/>
        <v>0</v>
      </c>
      <c r="M50" s="877"/>
      <c r="N50" s="871"/>
      <c r="O50" s="878"/>
      <c r="P50" s="866"/>
      <c r="Q50" s="913">
        <v>355.62400000000002</v>
      </c>
      <c r="R50" s="913">
        <v>466.72500000000002</v>
      </c>
      <c r="S50" s="146">
        <f t="shared" si="1"/>
        <v>822.34900000000005</v>
      </c>
      <c r="T50" s="877"/>
      <c r="U50" s="871"/>
      <c r="V50" s="878"/>
      <c r="W50" s="866"/>
      <c r="X50" s="871">
        <v>513.46799999999996</v>
      </c>
      <c r="Y50" s="871">
        <v>692.31299999999999</v>
      </c>
      <c r="Z50" s="259">
        <f t="shared" si="8"/>
        <v>1205.7809999999999</v>
      </c>
      <c r="AA50" s="962"/>
      <c r="AB50" s="871"/>
      <c r="AC50" s="878"/>
      <c r="AD50" s="866"/>
      <c r="AE50" s="871">
        <v>490.298</v>
      </c>
      <c r="AF50" s="871">
        <v>641.94500000000005</v>
      </c>
      <c r="AG50" s="259">
        <f t="shared" si="44"/>
        <v>1132.2429999999999</v>
      </c>
      <c r="AH50" s="962"/>
      <c r="AI50" s="871"/>
      <c r="AJ50" s="878"/>
      <c r="AK50" s="866"/>
      <c r="AL50" s="867">
        <f t="shared" si="42"/>
        <v>491.27859599999999</v>
      </c>
      <c r="AM50" s="867">
        <f t="shared" si="43"/>
        <v>643.22889000000009</v>
      </c>
      <c r="AN50" s="146">
        <f t="shared" si="2"/>
        <v>1134.507486</v>
      </c>
      <c r="AO50" s="871"/>
      <c r="AP50" s="871"/>
      <c r="AQ50" s="879"/>
      <c r="AR50" s="1430">
        <f>0.00214+$AU$126</f>
        <v>9.2747499999999997E-2</v>
      </c>
      <c r="AS50" s="1430">
        <f>0.00214+$AU$126</f>
        <v>9.2747499999999997E-2</v>
      </c>
      <c r="AT50" s="1430">
        <f>0.00214+$AU$126</f>
        <v>9.2747499999999997E-2</v>
      </c>
      <c r="AU50" s="263"/>
      <c r="AV50" s="282">
        <v>6.0699999999999997E-2</v>
      </c>
      <c r="AW50" s="282">
        <v>3.5099999999999999E-2</v>
      </c>
      <c r="AX50" s="282"/>
      <c r="AY50" s="282"/>
      <c r="AZ50" s="873">
        <f t="shared" si="38"/>
        <v>1</v>
      </c>
      <c r="BA50" s="873">
        <v>0</v>
      </c>
      <c r="BB50" s="873">
        <f t="shared" si="39"/>
        <v>1</v>
      </c>
      <c r="BC50" s="873">
        <v>0</v>
      </c>
      <c r="BD50" s="283"/>
      <c r="BE50" s="283"/>
      <c r="BF50" s="283">
        <f t="shared" si="45"/>
        <v>5.64</v>
      </c>
      <c r="BG50" s="263"/>
      <c r="BH50" s="263"/>
      <c r="BI50" s="288"/>
      <c r="BJ50" s="281">
        <v>8.3999999999999995E-3</v>
      </c>
      <c r="BK50" s="307">
        <v>2.0999999999999999E-3</v>
      </c>
      <c r="BL50" s="289">
        <f t="shared" si="17"/>
        <v>237.21300647698499</v>
      </c>
      <c r="BM50" s="874" t="str">
        <f t="shared" si="33"/>
        <v>-</v>
      </c>
      <c r="BN50" s="874">
        <f t="shared" si="34"/>
        <v>237.21300647698499</v>
      </c>
      <c r="BO50" s="875"/>
    </row>
    <row r="51" spans="1:68">
      <c r="A51" s="309">
        <v>46</v>
      </c>
      <c r="B51" s="1426" t="s">
        <v>604</v>
      </c>
      <c r="C51" s="1427" t="s">
        <v>834</v>
      </c>
      <c r="D51" s="856" t="s">
        <v>774</v>
      </c>
      <c r="E51" s="308" t="s">
        <v>833</v>
      </c>
      <c r="F51" s="255" t="s">
        <v>546</v>
      </c>
      <c r="G51" s="479" t="s">
        <v>554</v>
      </c>
      <c r="H51" s="923">
        <v>20</v>
      </c>
      <c r="I51" s="912"/>
      <c r="J51" s="913">
        <v>75.891999999999996</v>
      </c>
      <c r="K51" s="913">
        <v>83.91</v>
      </c>
      <c r="L51" s="146">
        <f t="shared" si="0"/>
        <v>159.80199999999999</v>
      </c>
      <c r="M51" s="877"/>
      <c r="N51" s="871"/>
      <c r="O51" s="878"/>
      <c r="P51" s="866"/>
      <c r="Q51" s="913">
        <v>372.90100000000001</v>
      </c>
      <c r="R51" s="913">
        <v>492.64800000000002</v>
      </c>
      <c r="S51" s="146">
        <f t="shared" si="1"/>
        <v>865.54899999999998</v>
      </c>
      <c r="T51" s="877"/>
      <c r="U51" s="871"/>
      <c r="V51" s="878"/>
      <c r="W51" s="866"/>
      <c r="X51" s="871">
        <v>535.58100000000002</v>
      </c>
      <c r="Y51" s="871">
        <v>698.11300000000006</v>
      </c>
      <c r="Z51" s="259">
        <f t="shared" si="8"/>
        <v>1233.694</v>
      </c>
      <c r="AA51" s="962"/>
      <c r="AB51" s="871"/>
      <c r="AC51" s="878"/>
      <c r="AD51" s="866"/>
      <c r="AE51" s="871">
        <v>500.34399999999999</v>
      </c>
      <c r="AF51" s="871">
        <v>628.83299999999997</v>
      </c>
      <c r="AG51" s="259">
        <f t="shared" si="44"/>
        <v>1129.1769999999999</v>
      </c>
      <c r="AH51" s="962"/>
      <c r="AI51" s="871"/>
      <c r="AJ51" s="878"/>
      <c r="AK51" s="866"/>
      <c r="AL51" s="867">
        <f t="shared" si="42"/>
        <v>501.34468800000002</v>
      </c>
      <c r="AM51" s="867">
        <f t="shared" si="43"/>
        <v>630.09066599999994</v>
      </c>
      <c r="AN51" s="146">
        <f t="shared" si="2"/>
        <v>1131.435354</v>
      </c>
      <c r="AO51" s="871"/>
      <c r="AP51" s="871"/>
      <c r="AQ51" s="879"/>
      <c r="AR51" s="1430">
        <f>0.00214+$AU$126</f>
        <v>9.2747499999999997E-2</v>
      </c>
      <c r="AS51" s="1430">
        <f>0.00214+$AU$126</f>
        <v>9.2747499999999997E-2</v>
      </c>
      <c r="AT51" s="1430">
        <f>0.00214+$AU$126</f>
        <v>9.2747499999999997E-2</v>
      </c>
      <c r="AU51" s="263"/>
      <c r="AV51" s="282">
        <v>6.0699999999999997E-2</v>
      </c>
      <c r="AW51" s="282">
        <v>3.5099999999999999E-2</v>
      </c>
      <c r="AX51" s="282"/>
      <c r="AY51" s="282"/>
      <c r="AZ51" s="873">
        <f t="shared" si="38"/>
        <v>1</v>
      </c>
      <c r="BA51" s="873">
        <v>0</v>
      </c>
      <c r="BB51" s="873">
        <f t="shared" si="39"/>
        <v>1</v>
      </c>
      <c r="BC51" s="873">
        <v>0</v>
      </c>
      <c r="BD51" s="283"/>
      <c r="BE51" s="283"/>
      <c r="BF51" s="283">
        <f t="shared" si="45"/>
        <v>7.02</v>
      </c>
      <c r="BG51" s="263"/>
      <c r="BH51" s="263"/>
      <c r="BI51" s="288"/>
      <c r="BJ51" s="281">
        <v>8.3999999999999995E-3</v>
      </c>
      <c r="BK51" s="307">
        <v>2.0999999999999999E-3</v>
      </c>
      <c r="BL51" s="289">
        <f t="shared" si="17"/>
        <v>253.60567665031496</v>
      </c>
      <c r="BM51" s="874" t="str">
        <f t="shared" si="33"/>
        <v>-</v>
      </c>
      <c r="BN51" s="874">
        <f t="shared" si="34"/>
        <v>253.60567665031496</v>
      </c>
      <c r="BO51" s="875"/>
    </row>
    <row r="52" spans="1:68">
      <c r="A52" s="309">
        <v>47</v>
      </c>
      <c r="B52" s="1426" t="s">
        <v>604</v>
      </c>
      <c r="C52" s="1427" t="s">
        <v>840</v>
      </c>
      <c r="D52" s="856" t="s">
        <v>774</v>
      </c>
      <c r="E52" s="308" t="s">
        <v>839</v>
      </c>
      <c r="F52" s="255" t="s">
        <v>546</v>
      </c>
      <c r="G52" s="479" t="s">
        <v>554</v>
      </c>
      <c r="H52" s="923">
        <v>10</v>
      </c>
      <c r="I52" s="912"/>
      <c r="J52" s="913">
        <v>279.125</v>
      </c>
      <c r="K52" s="913">
        <v>354.12</v>
      </c>
      <c r="L52" s="146">
        <f t="shared" si="0"/>
        <v>633.245</v>
      </c>
      <c r="M52" s="877"/>
      <c r="N52" s="871"/>
      <c r="O52" s="878"/>
      <c r="P52" s="866"/>
      <c r="Q52" s="913">
        <v>247.12299999999999</v>
      </c>
      <c r="R52" s="913">
        <v>364.80900000000003</v>
      </c>
      <c r="S52" s="146">
        <f t="shared" si="1"/>
        <v>611.93200000000002</v>
      </c>
      <c r="T52" s="877"/>
      <c r="U52" s="871"/>
      <c r="V52" s="878"/>
      <c r="W52" s="866"/>
      <c r="X52" s="871">
        <v>258.78899999999999</v>
      </c>
      <c r="Y52" s="871">
        <v>389.33</v>
      </c>
      <c r="Z52" s="259">
        <f t="shared" si="8"/>
        <v>648.11899999999991</v>
      </c>
      <c r="AA52" s="962"/>
      <c r="AB52" s="871"/>
      <c r="AC52" s="878"/>
      <c r="AD52" s="866"/>
      <c r="AE52" s="871">
        <v>255.90899999999999</v>
      </c>
      <c r="AF52" s="871">
        <v>359.35500000000002</v>
      </c>
      <c r="AG52" s="259">
        <f t="shared" si="44"/>
        <v>615.26400000000001</v>
      </c>
      <c r="AH52" s="962"/>
      <c r="AI52" s="871"/>
      <c r="AJ52" s="878"/>
      <c r="AK52" s="866"/>
      <c r="AL52" s="867">
        <f t="shared" si="42"/>
        <v>256.420818</v>
      </c>
      <c r="AM52" s="867">
        <f t="shared" si="43"/>
        <v>360.07371000000001</v>
      </c>
      <c r="AN52" s="146">
        <f t="shared" si="2"/>
        <v>616.49452799999995</v>
      </c>
      <c r="AO52" s="871"/>
      <c r="AP52" s="871"/>
      <c r="AQ52" s="879"/>
      <c r="AR52" s="1430">
        <f>0.00214+$AU$126</f>
        <v>9.2747499999999997E-2</v>
      </c>
      <c r="AS52" s="1430">
        <f>0.00214+$AU$126</f>
        <v>9.2747499999999997E-2</v>
      </c>
      <c r="AT52" s="1430">
        <f>0.00214+$AU$126</f>
        <v>9.2747499999999997E-2</v>
      </c>
      <c r="AU52" s="263"/>
      <c r="AV52" s="282">
        <v>6.0699999999999997E-2</v>
      </c>
      <c r="AW52" s="282">
        <v>3.5099999999999999E-2</v>
      </c>
      <c r="AX52" s="282"/>
      <c r="AY52" s="282"/>
      <c r="AZ52" s="873">
        <f t="shared" si="38"/>
        <v>1</v>
      </c>
      <c r="BA52" s="873">
        <v>0</v>
      </c>
      <c r="BB52" s="873">
        <f t="shared" si="39"/>
        <v>1</v>
      </c>
      <c r="BC52" s="873">
        <v>0</v>
      </c>
      <c r="BD52" s="283"/>
      <c r="BE52" s="283"/>
      <c r="BF52" s="283">
        <f t="shared" si="45"/>
        <v>5.64</v>
      </c>
      <c r="BG52" s="263"/>
      <c r="BH52" s="263"/>
      <c r="BI52" s="288"/>
      <c r="BJ52" s="281">
        <v>8.3999999999999995E-3</v>
      </c>
      <c r="BK52" s="307">
        <v>2.0999999999999999E-3</v>
      </c>
      <c r="BL52" s="289">
        <f t="shared" si="17"/>
        <v>159.53484965327996</v>
      </c>
      <c r="BM52" s="874" t="str">
        <f t="shared" si="33"/>
        <v>-</v>
      </c>
      <c r="BN52" s="874">
        <f t="shared" si="34"/>
        <v>159.53484965327996</v>
      </c>
      <c r="BO52" s="875"/>
    </row>
    <row r="53" spans="1:68">
      <c r="A53" s="309">
        <v>48</v>
      </c>
      <c r="B53" s="1426" t="s">
        <v>604</v>
      </c>
      <c r="C53" s="1427" t="s">
        <v>841</v>
      </c>
      <c r="D53" s="856" t="s">
        <v>774</v>
      </c>
      <c r="E53" s="308" t="s">
        <v>842</v>
      </c>
      <c r="F53" s="255" t="s">
        <v>546</v>
      </c>
      <c r="G53" s="479" t="s">
        <v>553</v>
      </c>
      <c r="H53" s="923">
        <v>10</v>
      </c>
      <c r="I53" s="912"/>
      <c r="J53" s="913">
        <v>238.81299999999999</v>
      </c>
      <c r="K53" s="913">
        <v>309.90499999999997</v>
      </c>
      <c r="L53" s="146">
        <f t="shared" si="0"/>
        <v>548.71799999999996</v>
      </c>
      <c r="M53" s="877"/>
      <c r="N53" s="871"/>
      <c r="O53" s="878"/>
      <c r="P53" s="866"/>
      <c r="Q53" s="913">
        <v>220.44499999999999</v>
      </c>
      <c r="R53" s="913">
        <v>330.58499999999998</v>
      </c>
      <c r="S53" s="146">
        <f t="shared" si="1"/>
        <v>551.03</v>
      </c>
      <c r="T53" s="877"/>
      <c r="U53" s="871"/>
      <c r="V53" s="878"/>
      <c r="W53" s="866"/>
      <c r="X53" s="871">
        <v>233.73699999999999</v>
      </c>
      <c r="Y53" s="871">
        <v>363.88499999999999</v>
      </c>
      <c r="Z53" s="259">
        <f t="shared" si="8"/>
        <v>597.62199999999996</v>
      </c>
      <c r="AA53" s="962"/>
      <c r="AB53" s="871"/>
      <c r="AC53" s="878"/>
      <c r="AD53" s="866"/>
      <c r="AE53" s="871">
        <v>229.60900000000001</v>
      </c>
      <c r="AF53" s="871">
        <v>327.78800000000001</v>
      </c>
      <c r="AG53" s="259">
        <f t="shared" si="44"/>
        <v>557.39700000000005</v>
      </c>
      <c r="AH53" s="962"/>
      <c r="AI53" s="871"/>
      <c r="AJ53" s="878"/>
      <c r="AK53" s="866"/>
      <c r="AL53" s="867">
        <f t="shared" si="42"/>
        <v>230.068218</v>
      </c>
      <c r="AM53" s="867">
        <f t="shared" si="43"/>
        <v>328.44357600000001</v>
      </c>
      <c r="AN53" s="146">
        <f t="shared" si="2"/>
        <v>558.51179400000001</v>
      </c>
      <c r="AO53" s="871"/>
      <c r="AP53" s="871"/>
      <c r="AQ53" s="879"/>
      <c r="AR53" s="1430">
        <f>0.00214+$AU$126</f>
        <v>9.2747499999999997E-2</v>
      </c>
      <c r="AS53" s="1430">
        <f>0.00214+$AU$126</f>
        <v>9.2747499999999997E-2</v>
      </c>
      <c r="AT53" s="1430">
        <f>0.00214+$AU$126</f>
        <v>9.2747499999999997E-2</v>
      </c>
      <c r="AU53" s="282">
        <v>7.7200000000000005E-2</v>
      </c>
      <c r="AV53" s="282"/>
      <c r="AW53" s="282"/>
      <c r="AX53" s="282"/>
      <c r="AY53" s="282"/>
      <c r="AZ53" s="873">
        <f t="shared" si="38"/>
        <v>1</v>
      </c>
      <c r="BA53" s="873">
        <v>0</v>
      </c>
      <c r="BB53" s="873">
        <f t="shared" si="39"/>
        <v>1</v>
      </c>
      <c r="BC53" s="873">
        <v>0</v>
      </c>
      <c r="BD53" s="283"/>
      <c r="BE53" s="283"/>
      <c r="BF53" s="283">
        <f>IF(H53&lt;=16,3.75,IF(AND(H53&gt;=17,H53&lt;=20),4.42,IF(AND(H53&gt;=21,H53&lt;=25),5.07,IF(AND(H53&gt;=26,H53&lt;=32),5.98,IF(AND(H53&gt;=33,H53&lt;=40),7.02,IF(AND(H53&gt;=41,H53&lt;=50),8.32,IF(AND(H53&gt;=51,H53&lt;=63),10.01)))))))</f>
        <v>3.75</v>
      </c>
      <c r="BG53" s="263"/>
      <c r="BH53" s="263"/>
      <c r="BI53" s="288"/>
      <c r="BJ53" s="281">
        <v>8.3999999999999995E-3</v>
      </c>
      <c r="BK53" s="307">
        <v>2.0999999999999999E-3</v>
      </c>
      <c r="BL53" s="289">
        <f t="shared" si="17"/>
        <v>145.78205694781502</v>
      </c>
      <c r="BM53" s="874" t="str">
        <f t="shared" si="33"/>
        <v>-</v>
      </c>
      <c r="BN53" s="874">
        <f t="shared" si="34"/>
        <v>145.78205694781502</v>
      </c>
      <c r="BO53" s="875"/>
    </row>
    <row r="54" spans="1:68">
      <c r="A54" s="309">
        <v>49</v>
      </c>
      <c r="B54" s="1426" t="s">
        <v>604</v>
      </c>
      <c r="C54" s="1427" t="s">
        <v>1072</v>
      </c>
      <c r="D54" s="856" t="s">
        <v>774</v>
      </c>
      <c r="E54" s="308" t="s">
        <v>1051</v>
      </c>
      <c r="F54" s="255" t="s">
        <v>546</v>
      </c>
      <c r="G54" s="479" t="s">
        <v>553</v>
      </c>
      <c r="H54" s="923">
        <v>32</v>
      </c>
      <c r="I54" s="912"/>
      <c r="J54" s="949" t="s">
        <v>349</v>
      </c>
      <c r="K54" s="949" t="s">
        <v>349</v>
      </c>
      <c r="L54" s="146">
        <f t="shared" si="0"/>
        <v>0</v>
      </c>
      <c r="M54" s="877"/>
      <c r="N54" s="871"/>
      <c r="O54" s="878"/>
      <c r="P54" s="866"/>
      <c r="Q54" s="949" t="s">
        <v>349</v>
      </c>
      <c r="R54" s="949" t="s">
        <v>349</v>
      </c>
      <c r="S54" s="146">
        <f t="shared" si="1"/>
        <v>0</v>
      </c>
      <c r="T54" s="877"/>
      <c r="U54" s="871"/>
      <c r="V54" s="878"/>
      <c r="W54" s="866"/>
      <c r="X54" s="871">
        <v>77.135000000000005</v>
      </c>
      <c r="Y54" s="871">
        <v>107.681</v>
      </c>
      <c r="Z54" s="259">
        <f t="shared" si="8"/>
        <v>184.816</v>
      </c>
      <c r="AA54" s="962"/>
      <c r="AB54" s="871"/>
      <c r="AC54" s="878"/>
      <c r="AD54" s="866"/>
      <c r="AE54" s="871">
        <v>199.49299999999999</v>
      </c>
      <c r="AF54" s="871">
        <v>272.61399999999998</v>
      </c>
      <c r="AG54" s="259">
        <f t="shared" si="44"/>
        <v>472.10699999999997</v>
      </c>
      <c r="AH54" s="962"/>
      <c r="AI54" s="871"/>
      <c r="AJ54" s="878"/>
      <c r="AK54" s="866"/>
      <c r="AL54" s="867">
        <f t="shared" si="42"/>
        <v>199.891986</v>
      </c>
      <c r="AM54" s="867">
        <f t="shared" si="43"/>
        <v>273.15922799999998</v>
      </c>
      <c r="AN54" s="146">
        <f t="shared" si="2"/>
        <v>473.05121399999996</v>
      </c>
      <c r="AO54" s="871"/>
      <c r="AP54" s="871"/>
      <c r="AQ54" s="879"/>
      <c r="AR54" s="1430">
        <f>0.00214+$AU$126</f>
        <v>9.2747499999999997E-2</v>
      </c>
      <c r="AS54" s="1430">
        <f>0.00214+$AU$126</f>
        <v>9.2747499999999997E-2</v>
      </c>
      <c r="AT54" s="1430">
        <f>0.00214+$AU$126</f>
        <v>9.2747499999999997E-2</v>
      </c>
      <c r="AU54" s="282">
        <v>7.7200000000000005E-2</v>
      </c>
      <c r="AV54" s="282"/>
      <c r="AW54" s="282"/>
      <c r="AX54" s="282"/>
      <c r="AY54" s="282"/>
      <c r="AZ54" s="873">
        <f t="shared" si="38"/>
        <v>1</v>
      </c>
      <c r="BA54" s="873">
        <v>0</v>
      </c>
      <c r="BB54" s="873">
        <f t="shared" si="39"/>
        <v>1</v>
      </c>
      <c r="BC54" s="873">
        <v>0</v>
      </c>
      <c r="BD54" s="283"/>
      <c r="BE54" s="283"/>
      <c r="BF54" s="283">
        <f>IF(H54&lt;=16,3.75,IF(AND(H54&gt;=17,H54&lt;=20),4.42,IF(AND(H54&gt;=21,H54&lt;=25),5.07,IF(AND(H54&gt;=26,H54&lt;=32),5.98,IF(AND(H54&gt;=33,H54&lt;=40),7.02,IF(AND(H54&gt;=41,H54&lt;=50),8.32,IF(AND(H54&gt;=51,H54&lt;=63),10.01)))))))</f>
        <v>5.98</v>
      </c>
      <c r="BG54" s="263"/>
      <c r="BH54" s="263"/>
      <c r="BI54" s="288"/>
      <c r="BJ54" s="281">
        <v>8.3999999999999995E-3</v>
      </c>
      <c r="BK54" s="307">
        <v>2.0999999999999999E-3</v>
      </c>
      <c r="BL54" s="289">
        <f t="shared" si="17"/>
        <v>157.12090893826499</v>
      </c>
      <c r="BM54" s="874" t="str">
        <f t="shared" si="33"/>
        <v>-</v>
      </c>
      <c r="BN54" s="874">
        <f t="shared" si="34"/>
        <v>157.12090893826499</v>
      </c>
      <c r="BO54" s="875"/>
    </row>
    <row r="55" spans="1:68">
      <c r="A55" s="309">
        <v>50</v>
      </c>
      <c r="B55" s="1426" t="s">
        <v>468</v>
      </c>
      <c r="C55" s="1427" t="s">
        <v>825</v>
      </c>
      <c r="D55" s="856" t="s">
        <v>774</v>
      </c>
      <c r="E55" s="308" t="s">
        <v>826</v>
      </c>
      <c r="F55" s="255" t="s">
        <v>546</v>
      </c>
      <c r="G55" s="479" t="s">
        <v>554</v>
      </c>
      <c r="H55" s="923">
        <v>16</v>
      </c>
      <c r="I55" s="912"/>
      <c r="J55" s="949" t="s">
        <v>349</v>
      </c>
      <c r="K55" s="949" t="s">
        <v>349</v>
      </c>
      <c r="L55" s="146">
        <f t="shared" si="0"/>
        <v>0</v>
      </c>
      <c r="M55" s="877"/>
      <c r="N55" s="871"/>
      <c r="O55" s="878"/>
      <c r="P55" s="866"/>
      <c r="Q55" s="913">
        <v>57.674999999999997</v>
      </c>
      <c r="R55" s="913">
        <v>75.052999999999997</v>
      </c>
      <c r="S55" s="146">
        <f t="shared" si="1"/>
        <v>132.72800000000001</v>
      </c>
      <c r="T55" s="877"/>
      <c r="U55" s="871"/>
      <c r="V55" s="878"/>
      <c r="W55" s="866"/>
      <c r="X55" s="871">
        <v>877.78399999999999</v>
      </c>
      <c r="Y55" s="871">
        <v>1139.4559999999999</v>
      </c>
      <c r="Z55" s="259">
        <f t="shared" si="8"/>
        <v>2017.2399999999998</v>
      </c>
      <c r="AA55" s="962"/>
      <c r="AB55" s="871"/>
      <c r="AC55" s="878"/>
      <c r="AD55" s="866"/>
      <c r="AE55" s="871">
        <v>1443.614</v>
      </c>
      <c r="AF55" s="871">
        <v>1888.51</v>
      </c>
      <c r="AG55" s="259">
        <f t="shared" si="44"/>
        <v>3332.1239999999998</v>
      </c>
      <c r="AH55" s="962"/>
      <c r="AI55" s="871"/>
      <c r="AJ55" s="878"/>
      <c r="AK55" s="866"/>
      <c r="AL55" s="867">
        <f t="shared" si="42"/>
        <v>1446.5012280000001</v>
      </c>
      <c r="AM55" s="867">
        <f t="shared" si="43"/>
        <v>1892.28702</v>
      </c>
      <c r="AN55" s="146">
        <f t="shared" si="2"/>
        <v>3338.7882479999998</v>
      </c>
      <c r="AO55" s="871"/>
      <c r="AP55" s="871"/>
      <c r="AQ55" s="879"/>
      <c r="AR55" s="1430">
        <f>0.00214+$AU$126</f>
        <v>9.2747499999999997E-2</v>
      </c>
      <c r="AS55" s="1430">
        <f>0.00214+$AU$126</f>
        <v>9.2747499999999997E-2</v>
      </c>
      <c r="AT55" s="1430">
        <f>0.00214+$AU$126</f>
        <v>9.2747499999999997E-2</v>
      </c>
      <c r="AU55" s="263"/>
      <c r="AV55" s="282">
        <v>6.0699999999999997E-2</v>
      </c>
      <c r="AW55" s="282">
        <v>3.5099999999999999E-2</v>
      </c>
      <c r="AX55" s="282"/>
      <c r="AY55" s="282"/>
      <c r="AZ55" s="873">
        <f t="shared" si="38"/>
        <v>1</v>
      </c>
      <c r="BA55" s="873">
        <v>0</v>
      </c>
      <c r="BB55" s="873">
        <f t="shared" si="39"/>
        <v>1</v>
      </c>
      <c r="BC55" s="873">
        <v>0</v>
      </c>
      <c r="BD55" s="283"/>
      <c r="BE55" s="283"/>
      <c r="BF55" s="283">
        <f t="shared" si="45"/>
        <v>5.64</v>
      </c>
      <c r="BG55" s="263"/>
      <c r="BH55" s="263"/>
      <c r="BI55" s="288"/>
      <c r="BJ55" s="281">
        <v>8.3999999999999995E-3</v>
      </c>
      <c r="BK55" s="307">
        <v>2.0999999999999999E-3</v>
      </c>
      <c r="BL55" s="289">
        <f t="shared" si="17"/>
        <v>566.62343857697988</v>
      </c>
      <c r="BM55" s="874" t="str">
        <f t="shared" si="33"/>
        <v>-</v>
      </c>
      <c r="BN55" s="874">
        <f t="shared" si="34"/>
        <v>566.62343857697988</v>
      </c>
      <c r="BO55" s="875"/>
    </row>
    <row r="56" spans="1:68">
      <c r="A56" s="309">
        <v>51</v>
      </c>
      <c r="B56" s="1426" t="s">
        <v>468</v>
      </c>
      <c r="C56" s="1427" t="s">
        <v>829</v>
      </c>
      <c r="D56" s="856" t="s">
        <v>774</v>
      </c>
      <c r="E56" s="308" t="s">
        <v>830</v>
      </c>
      <c r="F56" s="255" t="s">
        <v>546</v>
      </c>
      <c r="G56" s="479" t="s">
        <v>554</v>
      </c>
      <c r="H56" s="923">
        <v>16</v>
      </c>
      <c r="I56" s="912"/>
      <c r="J56" s="949" t="s">
        <v>349</v>
      </c>
      <c r="K56" s="949" t="s">
        <v>349</v>
      </c>
      <c r="L56" s="146">
        <f t="shared" si="0"/>
        <v>0</v>
      </c>
      <c r="M56" s="877"/>
      <c r="N56" s="871"/>
      <c r="O56" s="878"/>
      <c r="P56" s="866"/>
      <c r="Q56" s="913">
        <v>362.74299999999999</v>
      </c>
      <c r="R56" s="913">
        <v>442.30099999999999</v>
      </c>
      <c r="S56" s="146">
        <f t="shared" si="1"/>
        <v>805.04399999999998</v>
      </c>
      <c r="T56" s="877"/>
      <c r="U56" s="871"/>
      <c r="V56" s="878"/>
      <c r="W56" s="866"/>
      <c r="X56" s="871">
        <v>1358.223</v>
      </c>
      <c r="Y56" s="871">
        <v>1694.876</v>
      </c>
      <c r="Z56" s="259">
        <f t="shared" si="8"/>
        <v>3053.0990000000002</v>
      </c>
      <c r="AA56" s="962"/>
      <c r="AB56" s="871"/>
      <c r="AC56" s="878"/>
      <c r="AD56" s="866"/>
      <c r="AE56" s="871">
        <v>1226.42</v>
      </c>
      <c r="AF56" s="871">
        <v>1465.826</v>
      </c>
      <c r="AG56" s="259">
        <f t="shared" si="44"/>
        <v>2692.2460000000001</v>
      </c>
      <c r="AH56" s="962"/>
      <c r="AI56" s="871"/>
      <c r="AJ56" s="878"/>
      <c r="AK56" s="866"/>
      <c r="AL56" s="867">
        <f t="shared" si="42"/>
        <v>1228.87284</v>
      </c>
      <c r="AM56" s="867">
        <f t="shared" si="43"/>
        <v>1468.757652</v>
      </c>
      <c r="AN56" s="146">
        <f t="shared" si="2"/>
        <v>2697.6304920000002</v>
      </c>
      <c r="AO56" s="871"/>
      <c r="AP56" s="871"/>
      <c r="AQ56" s="879"/>
      <c r="AR56" s="1430">
        <f>0.00214+$AU$126</f>
        <v>9.2747499999999997E-2</v>
      </c>
      <c r="AS56" s="1430">
        <f>0.00214+$AU$126</f>
        <v>9.2747499999999997E-2</v>
      </c>
      <c r="AT56" s="1430">
        <f>0.00214+$AU$126</f>
        <v>9.2747499999999997E-2</v>
      </c>
      <c r="AU56" s="263"/>
      <c r="AV56" s="282">
        <v>6.0699999999999997E-2</v>
      </c>
      <c r="AW56" s="282">
        <v>3.5099999999999999E-2</v>
      </c>
      <c r="AX56" s="282"/>
      <c r="AY56" s="282"/>
      <c r="AZ56" s="873">
        <f t="shared" si="38"/>
        <v>1</v>
      </c>
      <c r="BA56" s="873">
        <v>0</v>
      </c>
      <c r="BB56" s="873">
        <f t="shared" si="39"/>
        <v>1</v>
      </c>
      <c r="BC56" s="873">
        <v>0</v>
      </c>
      <c r="BD56" s="283"/>
      <c r="BE56" s="283"/>
      <c r="BF56" s="283">
        <f t="shared" si="45"/>
        <v>5.64</v>
      </c>
      <c r="BG56" s="263"/>
      <c r="BH56" s="263"/>
      <c r="BI56" s="288"/>
      <c r="BJ56" s="281">
        <v>8.3999999999999995E-3</v>
      </c>
      <c r="BK56" s="307">
        <v>2.0999999999999999E-3</v>
      </c>
      <c r="BL56" s="289">
        <f t="shared" si="17"/>
        <v>472.34957919596997</v>
      </c>
      <c r="BM56" s="874" t="str">
        <f t="shared" si="33"/>
        <v>-</v>
      </c>
      <c r="BN56" s="874">
        <f t="shared" si="34"/>
        <v>472.34957919596997</v>
      </c>
      <c r="BO56" s="875"/>
    </row>
    <row r="57" spans="1:68">
      <c r="A57" s="309">
        <v>52</v>
      </c>
      <c r="B57" s="1426" t="s">
        <v>418</v>
      </c>
      <c r="C57" s="1578" t="s">
        <v>874</v>
      </c>
      <c r="D57" s="1428" t="s">
        <v>1093</v>
      </c>
      <c r="E57" s="1425" t="s">
        <v>875</v>
      </c>
      <c r="F57" s="255" t="s">
        <v>546</v>
      </c>
      <c r="G57" s="479" t="s">
        <v>554</v>
      </c>
      <c r="H57" s="923">
        <v>20</v>
      </c>
      <c r="I57" s="912"/>
      <c r="J57" s="949" t="s">
        <v>349</v>
      </c>
      <c r="K57" s="949" t="s">
        <v>349</v>
      </c>
      <c r="L57" s="259">
        <f t="shared" si="0"/>
        <v>0</v>
      </c>
      <c r="M57" s="868"/>
      <c r="N57" s="867"/>
      <c r="O57" s="869"/>
      <c r="P57" s="866"/>
      <c r="Q57" s="913">
        <v>419.37900000000002</v>
      </c>
      <c r="R57" s="913">
        <v>461.726</v>
      </c>
      <c r="S57" s="259">
        <f t="shared" si="1"/>
        <v>881.10500000000002</v>
      </c>
      <c r="T57" s="868"/>
      <c r="U57" s="867"/>
      <c r="V57" s="869"/>
      <c r="W57" s="866"/>
      <c r="X57" s="867">
        <v>816.82799999999997</v>
      </c>
      <c r="Y57" s="867">
        <v>1013.155</v>
      </c>
      <c r="Z57" s="259">
        <f t="shared" si="8"/>
        <v>1829.9829999999999</v>
      </c>
      <c r="AA57" s="963"/>
      <c r="AB57" s="867"/>
      <c r="AC57" s="869"/>
      <c r="AD57" s="866"/>
      <c r="AE57" s="867">
        <v>768.97699999999998</v>
      </c>
      <c r="AF57" s="867">
        <v>925.91099999999994</v>
      </c>
      <c r="AG57" s="259">
        <f t="shared" si="44"/>
        <v>1694.8879999999999</v>
      </c>
      <c r="AH57" s="963"/>
      <c r="AI57" s="867"/>
      <c r="AJ57" s="869"/>
      <c r="AK57" s="866"/>
      <c r="AL57" s="867">
        <f t="shared" si="42"/>
        <v>770.51495399999999</v>
      </c>
      <c r="AM57" s="867">
        <f t="shared" si="43"/>
        <v>927.76282199999991</v>
      </c>
      <c r="AN57" s="259">
        <f t="shared" si="2"/>
        <v>1698.2777759999999</v>
      </c>
      <c r="AO57" s="867"/>
      <c r="AP57" s="867"/>
      <c r="AQ57" s="879"/>
      <c r="AR57" s="1433">
        <f>0.00214+$AU$126</f>
        <v>9.2747499999999997E-2</v>
      </c>
      <c r="AS57" s="1434">
        <f>0.00214+$AU$126</f>
        <v>9.2747499999999997E-2</v>
      </c>
      <c r="AT57" s="1434">
        <f>0.00214+$AU$126</f>
        <v>9.2747499999999997E-2</v>
      </c>
      <c r="AU57" s="282"/>
      <c r="AV57" s="282">
        <v>6.0699999999999997E-2</v>
      </c>
      <c r="AW57" s="282">
        <v>3.5099999999999999E-2</v>
      </c>
      <c r="AX57" s="282"/>
      <c r="AY57" s="282"/>
      <c r="AZ57" s="873">
        <f t="shared" si="38"/>
        <v>1</v>
      </c>
      <c r="BA57" s="873">
        <v>0</v>
      </c>
      <c r="BB57" s="873">
        <f t="shared" si="39"/>
        <v>1</v>
      </c>
      <c r="BC57" s="873">
        <v>0</v>
      </c>
      <c r="BD57" s="283"/>
      <c r="BE57" s="283"/>
      <c r="BF57" s="283">
        <f t="shared" si="45"/>
        <v>7.02</v>
      </c>
      <c r="BG57" s="282"/>
      <c r="BH57" s="282"/>
      <c r="BI57" s="283"/>
      <c r="BJ57" s="282">
        <v>8.3999999999999995E-3</v>
      </c>
      <c r="BK57" s="307">
        <v>2.0999999999999999E-3</v>
      </c>
      <c r="BL57" s="284">
        <f t="shared" si="14"/>
        <v>338.91766743756</v>
      </c>
      <c r="BM57" s="929" t="str">
        <f t="shared" si="33"/>
        <v>-</v>
      </c>
      <c r="BN57" s="929" t="str">
        <f t="shared" si="34"/>
        <v>-</v>
      </c>
      <c r="BO57" s="875">
        <f>BL57</f>
        <v>338.91766743756</v>
      </c>
    </row>
    <row r="58" spans="1:68">
      <c r="A58" s="309">
        <v>53</v>
      </c>
      <c r="B58" s="1429" t="s">
        <v>418</v>
      </c>
      <c r="C58" s="1429" t="s">
        <v>1283</v>
      </c>
      <c r="D58" s="856" t="s">
        <v>774</v>
      </c>
      <c r="E58" s="1572" t="s">
        <v>349</v>
      </c>
      <c r="F58" s="279" t="s">
        <v>546</v>
      </c>
      <c r="G58" s="479" t="str">
        <f>G23</f>
        <v>Võrk 1</v>
      </c>
      <c r="H58" s="922">
        <f>H23</f>
        <v>6</v>
      </c>
      <c r="I58" s="918"/>
      <c r="J58" s="1557" t="s">
        <v>349</v>
      </c>
      <c r="K58" s="1557" t="s">
        <v>349</v>
      </c>
      <c r="L58" s="146">
        <f>SUM(I58:K58)</f>
        <v>0</v>
      </c>
      <c r="M58" s="877"/>
      <c r="N58" s="871"/>
      <c r="O58" s="878"/>
      <c r="P58" s="870"/>
      <c r="Q58" s="1557" t="s">
        <v>349</v>
      </c>
      <c r="R58" s="1557" t="s">
        <v>349</v>
      </c>
      <c r="S58" s="146">
        <f>SUM(P58:R58)</f>
        <v>0</v>
      </c>
      <c r="T58" s="877"/>
      <c r="U58" s="871"/>
      <c r="V58" s="878"/>
      <c r="W58" s="870"/>
      <c r="X58" s="1557" t="s">
        <v>349</v>
      </c>
      <c r="Y58" s="1557" t="s">
        <v>349</v>
      </c>
      <c r="Z58" s="146">
        <f t="shared" ref="Z58:Z61" si="46">SUM(W58:Y58)</f>
        <v>0</v>
      </c>
      <c r="AA58" s="962"/>
      <c r="AB58" s="871"/>
      <c r="AC58" s="878"/>
      <c r="AD58" s="870"/>
      <c r="AE58" s="1557" t="s">
        <v>349</v>
      </c>
      <c r="AF58" s="1557" t="s">
        <v>349</v>
      </c>
      <c r="AG58" s="146">
        <f t="shared" ref="AG58:AG61" si="47">SUM(AD58:AF58)</f>
        <v>0</v>
      </c>
      <c r="AH58" s="962"/>
      <c r="AI58" s="871"/>
      <c r="AJ58" s="878"/>
      <c r="AK58" s="870">
        <f>AL23+AM23</f>
        <v>237.18843000000001</v>
      </c>
      <c r="AL58" s="871"/>
      <c r="AM58" s="871"/>
      <c r="AN58" s="146">
        <f>SUM(AK58:AM58)</f>
        <v>237.18843000000001</v>
      </c>
      <c r="AO58" s="877"/>
      <c r="AP58" s="877"/>
      <c r="AQ58" s="890"/>
      <c r="AR58" s="1558">
        <f>0.00214+$AU$126</f>
        <v>9.2747499999999997E-2</v>
      </c>
      <c r="AS58" s="1430">
        <f>0.00214+$AU$126</f>
        <v>9.2747499999999997E-2</v>
      </c>
      <c r="AT58" s="1430">
        <f>0.00214+$AU$126</f>
        <v>9.2747499999999997E-2</v>
      </c>
      <c r="AU58" s="282">
        <v>7.7200000000000005E-2</v>
      </c>
      <c r="AV58" s="282"/>
      <c r="AW58" s="282"/>
      <c r="AX58" s="282"/>
      <c r="AY58" s="282"/>
      <c r="AZ58" s="873">
        <f t="shared" ref="AZ58:AZ60" si="48">100%-BA58</f>
        <v>1</v>
      </c>
      <c r="BA58" s="873">
        <v>0</v>
      </c>
      <c r="BB58" s="873">
        <f t="shared" ref="BB58:BB60" si="49">100%-BC58</f>
        <v>1</v>
      </c>
      <c r="BC58" s="873">
        <v>0</v>
      </c>
      <c r="BD58" s="283"/>
      <c r="BE58" s="283"/>
      <c r="BF58" s="283">
        <f>IF(H58&lt;=16,3.75,IF(AND(H58&gt;=17,H58&lt;=20),4.42,IF(AND(H58&gt;=21,H58&lt;=25),5.07,IF(AND(H58&gt;=26,H58&lt;=32),5.98,IF(AND(H58&gt;=33,H58&lt;=40),7.02,IF(AND(H58&gt;=41,H58&lt;=50),8.32,IF(AND(H58&gt;=51,H58&lt;=63),10.01)))))))</f>
        <v>3.75</v>
      </c>
      <c r="BG58" s="263"/>
      <c r="BH58" s="263"/>
      <c r="BI58" s="288"/>
      <c r="BJ58" s="281">
        <v>8.3999999999999995E-3</v>
      </c>
      <c r="BK58" s="307">
        <v>2.0999999999999999E-3</v>
      </c>
      <c r="BL58" s="289">
        <f>(AK58*AR58)+(AL58*AS58)+(AM58*AT58)+(AN58*AU58)+((AL58*AV58)*AZ58)+((AL58*AX58)*BA58)+((AM58*AW58)*BB58)+((AM58*AY58)*BC58)+(BD58*12)+(H58*BE58*12)+(BF58*12)+(AO58*BG58)+(AP58*BH58)+(AQ58*BI58)+(BJ58*AN58)+(BK58*AN58)</f>
        <v>87.800059222425006</v>
      </c>
      <c r="BM58" s="874" t="str">
        <f>IF(D58="V",BL58-BO58,"-")</f>
        <v>-</v>
      </c>
      <c r="BN58" s="874">
        <f>IF(D58="R",BL58-BO58,"-")</f>
        <v>87.800059222425006</v>
      </c>
      <c r="BO58" s="892"/>
    </row>
    <row r="59" spans="1:68">
      <c r="A59" s="309">
        <v>54</v>
      </c>
      <c r="B59" s="1426" t="s">
        <v>418</v>
      </c>
      <c r="C59" s="1429" t="s">
        <v>1284</v>
      </c>
      <c r="D59" s="856" t="s">
        <v>774</v>
      </c>
      <c r="E59" s="1572" t="s">
        <v>349</v>
      </c>
      <c r="F59" s="279" t="s">
        <v>546</v>
      </c>
      <c r="G59" s="479" t="str">
        <f>G23</f>
        <v>Võrk 1</v>
      </c>
      <c r="H59" s="922">
        <f>H23</f>
        <v>6</v>
      </c>
      <c r="I59" s="912"/>
      <c r="J59" s="921" t="s">
        <v>349</v>
      </c>
      <c r="K59" s="921" t="s">
        <v>349</v>
      </c>
      <c r="L59" s="259">
        <f>SUM(I59:K59)</f>
        <v>0</v>
      </c>
      <c r="M59" s="877"/>
      <c r="N59" s="871"/>
      <c r="O59" s="878"/>
      <c r="P59" s="866"/>
      <c r="Q59" s="921" t="s">
        <v>349</v>
      </c>
      <c r="R59" s="921" t="s">
        <v>349</v>
      </c>
      <c r="S59" s="259">
        <f>SUM(P59:R59)</f>
        <v>0</v>
      </c>
      <c r="T59" s="877"/>
      <c r="U59" s="871"/>
      <c r="V59" s="878"/>
      <c r="W59" s="866"/>
      <c r="X59" s="921" t="s">
        <v>349</v>
      </c>
      <c r="Y59" s="921" t="s">
        <v>349</v>
      </c>
      <c r="Z59" s="259">
        <f t="shared" si="46"/>
        <v>0</v>
      </c>
      <c r="AA59" s="962"/>
      <c r="AB59" s="871"/>
      <c r="AC59" s="878"/>
      <c r="AD59" s="870"/>
      <c r="AE59" s="921" t="s">
        <v>349</v>
      </c>
      <c r="AF59" s="921" t="s">
        <v>349</v>
      </c>
      <c r="AG59" s="259">
        <f t="shared" si="47"/>
        <v>0</v>
      </c>
      <c r="AH59" s="962"/>
      <c r="AI59" s="871"/>
      <c r="AJ59" s="878"/>
      <c r="AK59" s="870">
        <f>AL23+AM23</f>
        <v>237.18843000000001</v>
      </c>
      <c r="AL59" s="871"/>
      <c r="AM59" s="871"/>
      <c r="AN59" s="259">
        <f>SUM(AK59:AM59)</f>
        <v>237.18843000000001</v>
      </c>
      <c r="AO59" s="877"/>
      <c r="AP59" s="877"/>
      <c r="AQ59" s="879"/>
      <c r="AR59" s="1433">
        <f>0.00214+$AU$126</f>
        <v>9.2747499999999997E-2</v>
      </c>
      <c r="AS59" s="1434">
        <f>0.00214+$AU$126</f>
        <v>9.2747499999999997E-2</v>
      </c>
      <c r="AT59" s="1434">
        <f>0.00214+$AU$126</f>
        <v>9.2747499999999997E-2</v>
      </c>
      <c r="AU59" s="282">
        <v>7.7200000000000005E-2</v>
      </c>
      <c r="AV59" s="282"/>
      <c r="AW59" s="282"/>
      <c r="AX59" s="282"/>
      <c r="AY59" s="282"/>
      <c r="AZ59" s="873">
        <f t="shared" si="48"/>
        <v>1</v>
      </c>
      <c r="BA59" s="873">
        <v>0</v>
      </c>
      <c r="BB59" s="873">
        <f t="shared" si="49"/>
        <v>1</v>
      </c>
      <c r="BC59" s="873">
        <v>0</v>
      </c>
      <c r="BD59" s="283"/>
      <c r="BE59" s="283"/>
      <c r="BF59" s="283">
        <f>IF(H59&lt;=16,3.75,IF(AND(H59&gt;=17,H59&lt;=20),4.42,IF(AND(H59&gt;=21,H59&lt;=25),5.07,IF(AND(H59&gt;=26,H59&lt;=32),5.98,IF(AND(H59&gt;=33,H59&lt;=40),7.02,IF(AND(H59&gt;=41,H59&lt;=50),8.32,IF(AND(H59&gt;=51,H59&lt;=63),10.01)))))))</f>
        <v>3.75</v>
      </c>
      <c r="BG59" s="263"/>
      <c r="BH59" s="263"/>
      <c r="BI59" s="288"/>
      <c r="BJ59" s="281">
        <v>8.3999999999999995E-3</v>
      </c>
      <c r="BK59" s="307">
        <v>2.0999999999999999E-3</v>
      </c>
      <c r="BL59" s="289">
        <f>(AK59*AR59)+(AL59*AS59)+(AM59*AT59)+(AN59*AU59)+((AL59*AV59)*AZ59)+((AL59*AX59)*BA59)+((AM59*AW59)*BB59)+((AM59*AY59)*BC59)+(BD59*12)+(H59*BE59*12)+(BF59*12)+(AO59*BG59)+(AP59*BH59)+(AQ59*BI59)+(BJ59*AN59)+(BK59*AN59)</f>
        <v>87.800059222425006</v>
      </c>
      <c r="BM59" s="874" t="str">
        <f>IF(D59="V",BL59-BO59,"-")</f>
        <v>-</v>
      </c>
      <c r="BN59" s="874">
        <f>IF(D59="R",BL59-BO59,"-")</f>
        <v>87.800059222425006</v>
      </c>
      <c r="BO59" s="875"/>
      <c r="BP59" s="881"/>
    </row>
    <row r="60" spans="1:68">
      <c r="A60" s="309">
        <v>55</v>
      </c>
      <c r="B60" s="1426" t="s">
        <v>1285</v>
      </c>
      <c r="C60" s="1429" t="s">
        <v>1286</v>
      </c>
      <c r="D60" s="856" t="s">
        <v>774</v>
      </c>
      <c r="E60" s="1572" t="s">
        <v>349</v>
      </c>
      <c r="F60" s="279" t="s">
        <v>546</v>
      </c>
      <c r="G60" s="479" t="str">
        <f>G56</f>
        <v>Võrk 2</v>
      </c>
      <c r="H60" s="923">
        <f>H56</f>
        <v>16</v>
      </c>
      <c r="I60" s="912"/>
      <c r="J60" s="921" t="s">
        <v>349</v>
      </c>
      <c r="K60" s="921" t="s">
        <v>349</v>
      </c>
      <c r="L60" s="259">
        <f>SUM(I60:K60)</f>
        <v>0</v>
      </c>
      <c r="M60" s="877"/>
      <c r="N60" s="871"/>
      <c r="O60" s="878"/>
      <c r="P60" s="866"/>
      <c r="Q60" s="921" t="s">
        <v>349</v>
      </c>
      <c r="R60" s="921" t="s">
        <v>349</v>
      </c>
      <c r="S60" s="259">
        <f>SUM(P60:R60)</f>
        <v>0</v>
      </c>
      <c r="T60" s="877"/>
      <c r="U60" s="871"/>
      <c r="V60" s="878"/>
      <c r="W60" s="866"/>
      <c r="X60" s="921" t="s">
        <v>349</v>
      </c>
      <c r="Y60" s="921" t="s">
        <v>349</v>
      </c>
      <c r="Z60" s="259">
        <f t="shared" si="46"/>
        <v>0</v>
      </c>
      <c r="AA60" s="962"/>
      <c r="AB60" s="871"/>
      <c r="AC60" s="878"/>
      <c r="AD60" s="870"/>
      <c r="AE60" s="921" t="s">
        <v>349</v>
      </c>
      <c r="AF60" s="921" t="s">
        <v>349</v>
      </c>
      <c r="AG60" s="259">
        <f t="shared" si="47"/>
        <v>0</v>
      </c>
      <c r="AH60" s="962"/>
      <c r="AI60" s="871"/>
      <c r="AJ60" s="878"/>
      <c r="AK60" s="870"/>
      <c r="AL60" s="867">
        <f>AL56</f>
        <v>1228.87284</v>
      </c>
      <c r="AM60" s="867">
        <f>AM56</f>
        <v>1468.757652</v>
      </c>
      <c r="AN60" s="259">
        <f>SUM(AK60:AM60)</f>
        <v>2697.6304920000002</v>
      </c>
      <c r="AO60" s="877"/>
      <c r="AP60" s="877"/>
      <c r="AQ60" s="879"/>
      <c r="AR60" s="1433">
        <f>0.00214+$AU$126</f>
        <v>9.2747499999999997E-2</v>
      </c>
      <c r="AS60" s="1434">
        <f>0.00214+$AU$126</f>
        <v>9.2747499999999997E-2</v>
      </c>
      <c r="AT60" s="1434">
        <f>0.00214+$AU$126</f>
        <v>9.2747499999999997E-2</v>
      </c>
      <c r="AU60" s="282"/>
      <c r="AV60" s="282">
        <v>6.0699999999999997E-2</v>
      </c>
      <c r="AW60" s="282">
        <v>3.5099999999999999E-2</v>
      </c>
      <c r="AX60" s="282"/>
      <c r="AY60" s="282"/>
      <c r="AZ60" s="873">
        <f t="shared" si="48"/>
        <v>1</v>
      </c>
      <c r="BA60" s="873">
        <v>0</v>
      </c>
      <c r="BB60" s="873">
        <f t="shared" si="49"/>
        <v>1</v>
      </c>
      <c r="BC60" s="873">
        <v>0</v>
      </c>
      <c r="BD60" s="283"/>
      <c r="BE60" s="283"/>
      <c r="BF60" s="283">
        <f t="shared" ref="BF60" si="50">IF(H60&lt;=16,5.64,IF(AND(H60&gt;=17,H60&lt;=20),7.02,IF(AND(H60&gt;=21,H60&lt;=25),8.32,IF(AND(H60&gt;=26,H60&lt;=32),10.14,IF(AND(H60&gt;=33,H60&lt;=40),12.22,IF(AND(H60&gt;=41,H60&lt;=50),14.82,IF(AND(H60&gt;=51,H60&lt;=63),18.2)))))))</f>
        <v>5.64</v>
      </c>
      <c r="BG60" s="282"/>
      <c r="BH60" s="282"/>
      <c r="BI60" s="283"/>
      <c r="BJ60" s="282">
        <v>8.3999999999999995E-3</v>
      </c>
      <c r="BK60" s="307">
        <v>2.0999999999999999E-3</v>
      </c>
      <c r="BL60" s="289">
        <f>(AK60*AR60)+(AL60*AS60)+(AM60*AT60)+(AN60*AU60)+((AL60*AV60)*AZ60)+((AL60*AX60)*BA60)+((AM60*AW60)*BB60)+((AM60*AY60)*BC60)+(BD60*12)+(H60*BE60*12)+(BF60*12)+(AO60*BG60)+(AP60*BH60)+(AQ60*BI60)+(BJ60*AN60)+(BK60*AN60)</f>
        <v>472.34957919596997</v>
      </c>
      <c r="BM60" s="874" t="str">
        <f>IF(D60="V",BL60-BO60,"-")</f>
        <v>-</v>
      </c>
      <c r="BN60" s="874">
        <f>IF(D60="R",BL60-BO60,"-")</f>
        <v>472.34957919596997</v>
      </c>
      <c r="BO60" s="875"/>
    </row>
    <row r="61" spans="1:68" ht="15" thickBot="1">
      <c r="A61" s="311">
        <v>56</v>
      </c>
      <c r="B61" s="1424" t="s">
        <v>1285</v>
      </c>
      <c r="C61" s="1424" t="s">
        <v>1287</v>
      </c>
      <c r="D61" s="482" t="s">
        <v>773</v>
      </c>
      <c r="E61" s="1573" t="s">
        <v>349</v>
      </c>
      <c r="F61" s="483" t="s">
        <v>546</v>
      </c>
      <c r="G61" s="484" t="s">
        <v>553</v>
      </c>
      <c r="H61" s="924">
        <f>H76</f>
        <v>20</v>
      </c>
      <c r="I61" s="916"/>
      <c r="J61" s="1569" t="s">
        <v>349</v>
      </c>
      <c r="K61" s="1569" t="s">
        <v>349</v>
      </c>
      <c r="L61" s="242">
        <f>SUM(I61:K61)</f>
        <v>0</v>
      </c>
      <c r="M61" s="884"/>
      <c r="N61" s="883"/>
      <c r="O61" s="885"/>
      <c r="P61" s="882"/>
      <c r="Q61" s="1569" t="s">
        <v>349</v>
      </c>
      <c r="R61" s="1569" t="s">
        <v>349</v>
      </c>
      <c r="S61" s="242">
        <f>SUM(P61:R61)</f>
        <v>0</v>
      </c>
      <c r="T61" s="884"/>
      <c r="U61" s="883"/>
      <c r="V61" s="885"/>
      <c r="W61" s="882"/>
      <c r="X61" s="1569" t="s">
        <v>349</v>
      </c>
      <c r="Y61" s="1569" t="s">
        <v>349</v>
      </c>
      <c r="Z61" s="242">
        <f t="shared" si="46"/>
        <v>0</v>
      </c>
      <c r="AA61" s="964"/>
      <c r="AB61" s="883"/>
      <c r="AC61" s="885"/>
      <c r="AD61" s="882"/>
      <c r="AE61" s="1569" t="s">
        <v>349</v>
      </c>
      <c r="AF61" s="1569" t="s">
        <v>349</v>
      </c>
      <c r="AG61" s="242">
        <f t="shared" si="47"/>
        <v>0</v>
      </c>
      <c r="AH61" s="964"/>
      <c r="AI61" s="883"/>
      <c r="AJ61" s="885"/>
      <c r="AK61" s="882">
        <f>AK76</f>
        <v>4592.465878</v>
      </c>
      <c r="AL61" s="883"/>
      <c r="AM61" s="883"/>
      <c r="AN61" s="242">
        <f>SUM(AK61:AM61)</f>
        <v>4592.465878</v>
      </c>
      <c r="AO61" s="884"/>
      <c r="AP61" s="884"/>
      <c r="AQ61" s="886"/>
      <c r="AR61" s="1431">
        <f>0.00214+$AU$126</f>
        <v>9.2747499999999997E-2</v>
      </c>
      <c r="AS61" s="1432">
        <f>0.00214+$AU$126</f>
        <v>9.2747499999999997E-2</v>
      </c>
      <c r="AT61" s="1432">
        <f>0.00214+$AU$126</f>
        <v>9.2747499999999997E-2</v>
      </c>
      <c r="AU61" s="285">
        <v>7.7200000000000005E-2</v>
      </c>
      <c r="AV61" s="285"/>
      <c r="AW61" s="285"/>
      <c r="AX61" s="285"/>
      <c r="AY61" s="285"/>
      <c r="AZ61" s="887">
        <f t="shared" ref="AZ61" si="51">100%-BA61</f>
        <v>1</v>
      </c>
      <c r="BA61" s="887">
        <v>0</v>
      </c>
      <c r="BB61" s="887">
        <f t="shared" ref="BB61" si="52">100%-BC61</f>
        <v>1</v>
      </c>
      <c r="BC61" s="887">
        <v>0</v>
      </c>
      <c r="BD61" s="286"/>
      <c r="BE61" s="286"/>
      <c r="BF61" s="286">
        <f>IF(H61&lt;=16,3.75,IF(AND(H61&gt;=17,H61&lt;=20),4.42,IF(AND(H61&gt;=21,H61&lt;=25),5.07,IF(AND(H61&gt;=26,H61&lt;=32),5.98,IF(AND(H61&gt;=33,H61&lt;=40),7.02,IF(AND(H61&gt;=41,H61&lt;=50),8.32,IF(AND(H61&gt;=51,H61&lt;=63),10.01)))))))</f>
        <v>4.42</v>
      </c>
      <c r="BG61" s="285"/>
      <c r="BH61" s="285"/>
      <c r="BI61" s="286"/>
      <c r="BJ61" s="285">
        <v>8.3999999999999995E-3</v>
      </c>
      <c r="BK61" s="1571">
        <v>2.0999999999999999E-3</v>
      </c>
      <c r="BL61" s="287">
        <f>(AK61*AR61)+(AL61*AS61)+(AM61*AT61)+(AN61*AU61)+((AL61*AV61)*AZ61)+((AL61*AX61)*BA61)+((AM61*AW61)*BB61)+((AM61*AY61)*BC61)+(BD61*12)+(H61*BE61*12)+(BF61*12)+(AO61*BG61)+(AP61*BH61)+(AQ61*BI61)+(BJ61*AN61)+(BK61*AN61)</f>
        <v>881.73898652040498</v>
      </c>
      <c r="BM61" s="888">
        <f>IF(D61="V",BL61-BO61,"-")</f>
        <v>881.73898652040498</v>
      </c>
      <c r="BN61" s="888" t="str">
        <f>IF(D61="R",BL61-BO61,"-")</f>
        <v>-</v>
      </c>
      <c r="BO61" s="889"/>
    </row>
    <row r="62" spans="1:68" ht="15" thickTop="1">
      <c r="A62" s="310">
        <v>57</v>
      </c>
      <c r="B62" s="1429" t="s">
        <v>460</v>
      </c>
      <c r="C62" s="1427" t="s">
        <v>668</v>
      </c>
      <c r="D62" s="856" t="s">
        <v>774</v>
      </c>
      <c r="E62" s="308" t="s">
        <v>669</v>
      </c>
      <c r="F62" s="279" t="s">
        <v>462</v>
      </c>
      <c r="G62" s="254" t="s">
        <v>560</v>
      </c>
      <c r="H62" s="922">
        <v>40</v>
      </c>
      <c r="I62" s="918"/>
      <c r="J62" s="919">
        <v>427.73</v>
      </c>
      <c r="K62" s="919">
        <v>405.04899999999998</v>
      </c>
      <c r="L62" s="146">
        <f t="shared" si="0"/>
        <v>832.779</v>
      </c>
      <c r="M62" s="925"/>
      <c r="N62" s="919"/>
      <c r="O62" s="878"/>
      <c r="P62" s="870"/>
      <c r="Q62" s="919">
        <v>452.43</v>
      </c>
      <c r="R62" s="919">
        <v>410.24099999999999</v>
      </c>
      <c r="S62" s="146">
        <f t="shared" si="1"/>
        <v>862.67100000000005</v>
      </c>
      <c r="T62" s="925"/>
      <c r="U62" s="925"/>
      <c r="V62" s="926"/>
      <c r="W62" s="870">
        <v>894.7</v>
      </c>
      <c r="X62" s="871"/>
      <c r="Y62" s="871"/>
      <c r="Z62" s="146">
        <f t="shared" si="8"/>
        <v>894.7</v>
      </c>
      <c r="AA62" s="962"/>
      <c r="AB62" s="871"/>
      <c r="AC62" s="878"/>
      <c r="AD62" s="870">
        <v>836.20900000000006</v>
      </c>
      <c r="AE62" s="871"/>
      <c r="AF62" s="871"/>
      <c r="AG62" s="146">
        <f t="shared" si="44"/>
        <v>836.20900000000006</v>
      </c>
      <c r="AH62" s="962"/>
      <c r="AI62" s="871"/>
      <c r="AJ62" s="878"/>
      <c r="AK62" s="870">
        <f>AD62+(AD62*$AP$119)</f>
        <v>837.88141800000005</v>
      </c>
      <c r="AL62" s="955"/>
      <c r="AM62" s="955"/>
      <c r="AN62" s="146">
        <f t="shared" si="2"/>
        <v>837.88141800000005</v>
      </c>
      <c r="AO62" s="871"/>
      <c r="AP62" s="871"/>
      <c r="AQ62" s="890"/>
      <c r="AR62" s="1579">
        <f>0.00214+$AU$126</f>
        <v>9.2747499999999997E-2</v>
      </c>
      <c r="AS62" s="1580">
        <f>0.00214+$AU$126</f>
        <v>9.2747499999999997E-2</v>
      </c>
      <c r="AT62" s="1580">
        <f>0.00214+$AU$126</f>
        <v>9.2747499999999997E-2</v>
      </c>
      <c r="AU62" s="281">
        <v>4.4900000000000002E-2</v>
      </c>
      <c r="AV62" s="281"/>
      <c r="AW62" s="281"/>
      <c r="AX62" s="281"/>
      <c r="AY62" s="281"/>
      <c r="AZ62" s="1435">
        <f t="shared" ref="AZ62:AZ63" si="53">100%-BA62</f>
        <v>1</v>
      </c>
      <c r="BA62" s="1435">
        <v>0</v>
      </c>
      <c r="BB62" s="1435">
        <f t="shared" ref="BB62:BB63" si="54">100%-BC62</f>
        <v>1</v>
      </c>
      <c r="BC62" s="1435">
        <v>0</v>
      </c>
      <c r="BD62" s="1422"/>
      <c r="BE62" s="481">
        <v>0.49</v>
      </c>
      <c r="BF62" s="481"/>
      <c r="BG62" s="480"/>
      <c r="BH62" s="480"/>
      <c r="BI62" s="481"/>
      <c r="BJ62" s="281">
        <v>8.3999999999999995E-3</v>
      </c>
      <c r="BK62" s="307">
        <v>2.0999999999999999E-3</v>
      </c>
      <c r="BL62" s="289">
        <f t="shared" si="14"/>
        <v>359.33003737315505</v>
      </c>
      <c r="BM62" s="874" t="str">
        <f t="shared" si="33"/>
        <v>-</v>
      </c>
      <c r="BN62" s="874">
        <f t="shared" si="34"/>
        <v>359.33003737315505</v>
      </c>
      <c r="BO62" s="892"/>
    </row>
    <row r="63" spans="1:68">
      <c r="A63" s="309">
        <v>58</v>
      </c>
      <c r="B63" s="1426" t="s">
        <v>460</v>
      </c>
      <c r="C63" s="1427" t="s">
        <v>562</v>
      </c>
      <c r="D63" s="856" t="s">
        <v>773</v>
      </c>
      <c r="E63" s="308" t="s">
        <v>501</v>
      </c>
      <c r="F63" s="255" t="s">
        <v>462</v>
      </c>
      <c r="G63" s="479" t="s">
        <v>558</v>
      </c>
      <c r="H63" s="923">
        <v>63</v>
      </c>
      <c r="I63" s="912"/>
      <c r="J63" s="913">
        <v>17027.826000000001</v>
      </c>
      <c r="K63" s="913">
        <v>11622.853999999999</v>
      </c>
      <c r="L63" s="146">
        <f t="shared" si="0"/>
        <v>28650.68</v>
      </c>
      <c r="M63" s="925">
        <v>4333.33</v>
      </c>
      <c r="N63" s="919">
        <v>635.17999999999995</v>
      </c>
      <c r="O63" s="878">
        <v>0</v>
      </c>
      <c r="P63" s="866"/>
      <c r="Q63" s="913">
        <v>11479.829</v>
      </c>
      <c r="R63" s="913">
        <v>8653.2960000000003</v>
      </c>
      <c r="S63" s="146">
        <f t="shared" si="1"/>
        <v>20133.125</v>
      </c>
      <c r="T63" s="925">
        <v>2353.87</v>
      </c>
      <c r="U63" s="925">
        <v>1105.83</v>
      </c>
      <c r="V63" s="926">
        <v>0</v>
      </c>
      <c r="W63" s="866"/>
      <c r="X63" s="871">
        <f>9088.534+2679.931</f>
        <v>11768.465</v>
      </c>
      <c r="Y63" s="871">
        <f>6056.63+1976.436</f>
        <v>8033.0659999999998</v>
      </c>
      <c r="Z63" s="259">
        <f t="shared" si="8"/>
        <v>19801.530999999999</v>
      </c>
      <c r="AA63" s="962">
        <v>2000</v>
      </c>
      <c r="AB63" s="871">
        <v>946</v>
      </c>
      <c r="AC63" s="878">
        <v>0</v>
      </c>
      <c r="AD63" s="866"/>
      <c r="AE63" s="871">
        <v>11693.428</v>
      </c>
      <c r="AF63" s="871">
        <v>9500.1849999999995</v>
      </c>
      <c r="AG63" s="259">
        <f t="shared" si="44"/>
        <v>21193.612999999998</v>
      </c>
      <c r="AH63" s="962">
        <v>5005.759</v>
      </c>
      <c r="AI63" s="871">
        <v>1027.3050000000001</v>
      </c>
      <c r="AJ63" s="878">
        <v>0</v>
      </c>
      <c r="AK63" s="866"/>
      <c r="AL63" s="867">
        <f>AE63+(AE63*$AP$118)</f>
        <v>11705.121428</v>
      </c>
      <c r="AM63" s="867">
        <f>AF63+(AF63*$AP$118)</f>
        <v>9509.6851850000003</v>
      </c>
      <c r="AN63" s="146">
        <f t="shared" si="2"/>
        <v>21214.806613000001</v>
      </c>
      <c r="AO63" s="962">
        <f>AH63+(AH63*$AP$118)</f>
        <v>5010.7647589999997</v>
      </c>
      <c r="AP63" s="867">
        <f>AI63+(AI63*$AP$118)</f>
        <v>1028.3323050000001</v>
      </c>
      <c r="AQ63" s="867">
        <f>AJ63+(AJ63*$AP$118)</f>
        <v>0</v>
      </c>
      <c r="AR63" s="1433">
        <f>0.00214+$AU$126</f>
        <v>9.2747499999999997E-2</v>
      </c>
      <c r="AS63" s="1434">
        <f>0.00214+$AU$126</f>
        <v>9.2747499999999997E-2</v>
      </c>
      <c r="AT63" s="1434">
        <f>0.00214+$AU$126</f>
        <v>9.2747499999999997E-2</v>
      </c>
      <c r="AU63" s="282"/>
      <c r="AV63" s="282">
        <v>4.19E-2</v>
      </c>
      <c r="AW63" s="282">
        <v>2.6800000000000001E-2</v>
      </c>
      <c r="AX63" s="282"/>
      <c r="AY63" s="282"/>
      <c r="AZ63" s="873">
        <f t="shared" si="53"/>
        <v>1</v>
      </c>
      <c r="BA63" s="873">
        <v>0</v>
      </c>
      <c r="BB63" s="873">
        <f t="shared" si="54"/>
        <v>1</v>
      </c>
      <c r="BC63" s="873">
        <v>0</v>
      </c>
      <c r="BD63" s="1423"/>
      <c r="BE63" s="283">
        <v>0.73</v>
      </c>
      <c r="BF63" s="283"/>
      <c r="BG63" s="263">
        <v>6.8999999999999999E-3</v>
      </c>
      <c r="BH63" s="263">
        <v>9.7000000000000003E-3</v>
      </c>
      <c r="BI63" s="283"/>
      <c r="BJ63" s="281">
        <v>8.3999999999999995E-3</v>
      </c>
      <c r="BK63" s="307">
        <v>2.0999999999999999E-3</v>
      </c>
      <c r="BL63" s="289">
        <f t="shared" si="14"/>
        <v>3532.1089967625176</v>
      </c>
      <c r="BM63" s="874">
        <f t="shared" si="33"/>
        <v>3532.1089967625176</v>
      </c>
      <c r="BN63" s="874" t="str">
        <f t="shared" si="34"/>
        <v>-</v>
      </c>
      <c r="BO63" s="875"/>
    </row>
    <row r="64" spans="1:68">
      <c r="A64" s="309">
        <v>59</v>
      </c>
      <c r="B64" s="1426" t="s">
        <v>460</v>
      </c>
      <c r="C64" s="1427" t="s">
        <v>1091</v>
      </c>
      <c r="D64" s="856" t="s">
        <v>774</v>
      </c>
      <c r="E64" s="308" t="s">
        <v>528</v>
      </c>
      <c r="F64" s="255" t="s">
        <v>462</v>
      </c>
      <c r="G64" s="479" t="s">
        <v>559</v>
      </c>
      <c r="H64" s="923">
        <v>50</v>
      </c>
      <c r="I64" s="912"/>
      <c r="J64" s="913">
        <v>6132.6040000000003</v>
      </c>
      <c r="K64" s="913">
        <v>5633.0739999999996</v>
      </c>
      <c r="L64" s="146">
        <f t="shared" si="0"/>
        <v>11765.678</v>
      </c>
      <c r="M64" s="925"/>
      <c r="N64" s="919"/>
      <c r="O64" s="878"/>
      <c r="P64" s="866"/>
      <c r="Q64" s="913">
        <v>6154.49</v>
      </c>
      <c r="R64" s="913">
        <v>5629.2</v>
      </c>
      <c r="S64" s="146">
        <f t="shared" si="1"/>
        <v>11783.689999999999</v>
      </c>
      <c r="T64" s="925"/>
      <c r="U64" s="925"/>
      <c r="V64" s="926"/>
      <c r="W64" s="866"/>
      <c r="X64" s="871">
        <f>4616.39+1721.956</f>
        <v>6338.3460000000005</v>
      </c>
      <c r="Y64" s="871">
        <f>4101.882+1666.151</f>
        <v>5768.0329999999994</v>
      </c>
      <c r="Z64" s="259">
        <f t="shared" si="8"/>
        <v>12106.379000000001</v>
      </c>
      <c r="AA64" s="962"/>
      <c r="AB64" s="871"/>
      <c r="AC64" s="878"/>
      <c r="AD64" s="866"/>
      <c r="AE64" s="871">
        <v>8378.4479999999985</v>
      </c>
      <c r="AF64" s="871">
        <v>7814.9670000000006</v>
      </c>
      <c r="AG64" s="259">
        <f t="shared" si="44"/>
        <v>16193.414999999999</v>
      </c>
      <c r="AH64" s="962"/>
      <c r="AI64" s="871"/>
      <c r="AJ64" s="878"/>
      <c r="AK64" s="866"/>
      <c r="AL64" s="867">
        <f>AE64+(AE64*$AP$119)</f>
        <v>8395.2048959999993</v>
      </c>
      <c r="AM64" s="867">
        <f>AF64+(AF64*$AP$119)</f>
        <v>7830.5969340000001</v>
      </c>
      <c r="AN64" s="146">
        <f t="shared" si="2"/>
        <v>16225.80183</v>
      </c>
      <c r="AO64" s="871"/>
      <c r="AP64" s="871"/>
      <c r="AQ64" s="879"/>
      <c r="AR64" s="1433">
        <f>0.00214+$AU$126</f>
        <v>9.2747499999999997E-2</v>
      </c>
      <c r="AS64" s="1434">
        <f>0.00214+$AU$126</f>
        <v>9.2747499999999997E-2</v>
      </c>
      <c r="AT64" s="1434">
        <f>0.00214+$AU$126</f>
        <v>9.2747499999999997E-2</v>
      </c>
      <c r="AU64" s="282"/>
      <c r="AV64" s="282">
        <v>5.04E-2</v>
      </c>
      <c r="AW64" s="282">
        <v>4.1300000000000003E-2</v>
      </c>
      <c r="AX64" s="282"/>
      <c r="AY64" s="282"/>
      <c r="AZ64" s="873">
        <f t="shared" ref="AZ64" si="55">100%-BA64</f>
        <v>1</v>
      </c>
      <c r="BA64" s="873">
        <v>0</v>
      </c>
      <c r="BB64" s="873">
        <f t="shared" ref="BB64" si="56">100%-BC64</f>
        <v>1</v>
      </c>
      <c r="BC64" s="873">
        <v>0</v>
      </c>
      <c r="BD64" s="1423"/>
      <c r="BE64" s="283">
        <v>0.49</v>
      </c>
      <c r="BF64" s="283"/>
      <c r="BG64" s="263"/>
      <c r="BH64" s="263"/>
      <c r="BI64" s="288"/>
      <c r="BJ64" s="281">
        <v>8.3999999999999995E-3</v>
      </c>
      <c r="BK64" s="307">
        <v>2.0999999999999999E-3</v>
      </c>
      <c r="BL64" s="289">
        <f t="shared" si="14"/>
        <v>2715.7954545755247</v>
      </c>
      <c r="BM64" s="874" t="str">
        <f t="shared" si="33"/>
        <v>-</v>
      </c>
      <c r="BN64" s="874">
        <f t="shared" si="34"/>
        <v>2715.7954545755247</v>
      </c>
      <c r="BO64" s="875"/>
    </row>
    <row r="65" spans="1:68">
      <c r="A65" s="309">
        <v>60</v>
      </c>
      <c r="B65" s="1426" t="s">
        <v>460</v>
      </c>
      <c r="C65" s="1427" t="s">
        <v>1092</v>
      </c>
      <c r="D65" s="856" t="s">
        <v>773</v>
      </c>
      <c r="E65" s="308" t="s">
        <v>519</v>
      </c>
      <c r="F65" s="255" t="s">
        <v>462</v>
      </c>
      <c r="G65" s="479" t="s">
        <v>559</v>
      </c>
      <c r="H65" s="923">
        <v>50</v>
      </c>
      <c r="I65" s="912"/>
      <c r="J65" s="913">
        <v>15442.48</v>
      </c>
      <c r="K65" s="913">
        <v>11940.61</v>
      </c>
      <c r="L65" s="146">
        <f t="shared" si="0"/>
        <v>27383.09</v>
      </c>
      <c r="M65" s="925"/>
      <c r="N65" s="919"/>
      <c r="O65" s="878"/>
      <c r="P65" s="866"/>
      <c r="Q65" s="913">
        <v>9804.6730000000007</v>
      </c>
      <c r="R65" s="913">
        <v>7847.4790000000003</v>
      </c>
      <c r="S65" s="146">
        <f t="shared" si="1"/>
        <v>17652.152000000002</v>
      </c>
      <c r="T65" s="925"/>
      <c r="U65" s="925"/>
      <c r="V65" s="926"/>
      <c r="W65" s="866"/>
      <c r="X65" s="871">
        <v>9339.869999999999</v>
      </c>
      <c r="Y65" s="871">
        <v>7444.58</v>
      </c>
      <c r="Z65" s="259">
        <f t="shared" si="8"/>
        <v>16784.449999999997</v>
      </c>
      <c r="AA65" s="962"/>
      <c r="AB65" s="871"/>
      <c r="AC65" s="878"/>
      <c r="AD65" s="866"/>
      <c r="AE65" s="871">
        <v>16267.984</v>
      </c>
      <c r="AF65" s="871">
        <v>13345.303</v>
      </c>
      <c r="AG65" s="259">
        <f t="shared" si="44"/>
        <v>29613.287</v>
      </c>
      <c r="AH65" s="962"/>
      <c r="AI65" s="871"/>
      <c r="AJ65" s="878"/>
      <c r="AK65" s="866"/>
      <c r="AL65" s="867">
        <f>AE65+(AE65*$AP$118)</f>
        <v>16284.251984</v>
      </c>
      <c r="AM65" s="867">
        <f>AF65+(AF65*$AP$118)</f>
        <v>13358.648303</v>
      </c>
      <c r="AN65" s="146">
        <f t="shared" si="2"/>
        <v>29642.900287</v>
      </c>
      <c r="AO65" s="871"/>
      <c r="AP65" s="871"/>
      <c r="AQ65" s="879"/>
      <c r="AR65" s="1433">
        <f>0.00214+$AU$126</f>
        <v>9.2747499999999997E-2</v>
      </c>
      <c r="AS65" s="1434">
        <f>0.00214+$AU$126</f>
        <v>9.2747499999999997E-2</v>
      </c>
      <c r="AT65" s="1434">
        <f>0.00214+$AU$126</f>
        <v>9.2747499999999997E-2</v>
      </c>
      <c r="AU65" s="282"/>
      <c r="AV65" s="282">
        <v>5.04E-2</v>
      </c>
      <c r="AW65" s="282">
        <v>4.1300000000000003E-2</v>
      </c>
      <c r="AX65" s="282"/>
      <c r="AY65" s="282"/>
      <c r="AZ65" s="873">
        <f t="shared" ref="AZ65" si="57">100%-BA65</f>
        <v>1</v>
      </c>
      <c r="BA65" s="873">
        <v>0</v>
      </c>
      <c r="BB65" s="873">
        <f t="shared" ref="BB65" si="58">100%-BC65</f>
        <v>1</v>
      </c>
      <c r="BC65" s="873">
        <v>0</v>
      </c>
      <c r="BD65" s="1423"/>
      <c r="BE65" s="283">
        <v>0.49</v>
      </c>
      <c r="BF65" s="283"/>
      <c r="BG65" s="263"/>
      <c r="BH65" s="263"/>
      <c r="BI65" s="288"/>
      <c r="BJ65" s="281">
        <v>8.3999999999999995E-3</v>
      </c>
      <c r="BK65" s="307">
        <v>2.0999999999999999E-3</v>
      </c>
      <c r="BL65" s="289">
        <f t="shared" si="14"/>
        <v>4726.9938222895335</v>
      </c>
      <c r="BM65" s="874">
        <f t="shared" si="33"/>
        <v>4726.9938222895335</v>
      </c>
      <c r="BN65" s="874" t="str">
        <f t="shared" si="34"/>
        <v>-</v>
      </c>
      <c r="BO65" s="875"/>
    </row>
    <row r="66" spans="1:68">
      <c r="A66" s="309">
        <v>61</v>
      </c>
      <c r="B66" s="1426" t="s">
        <v>460</v>
      </c>
      <c r="C66" s="1427" t="s">
        <v>549</v>
      </c>
      <c r="D66" s="856" t="s">
        <v>774</v>
      </c>
      <c r="E66" s="308" t="s">
        <v>524</v>
      </c>
      <c r="F66" s="255" t="s">
        <v>462</v>
      </c>
      <c r="G66" s="479" t="s">
        <v>560</v>
      </c>
      <c r="H66" s="923">
        <v>10</v>
      </c>
      <c r="I66" s="912"/>
      <c r="J66" s="913">
        <v>467.48399999999998</v>
      </c>
      <c r="K66" s="913">
        <v>421.13600000000002</v>
      </c>
      <c r="L66" s="146">
        <f t="shared" si="0"/>
        <v>888.62</v>
      </c>
      <c r="M66" s="925"/>
      <c r="N66" s="919"/>
      <c r="O66" s="878"/>
      <c r="P66" s="866"/>
      <c r="Q66" s="913">
        <v>1756.9780000000001</v>
      </c>
      <c r="R66" s="913">
        <v>1621.1120000000001</v>
      </c>
      <c r="S66" s="146">
        <f t="shared" si="1"/>
        <v>3378.09</v>
      </c>
      <c r="T66" s="925"/>
      <c r="U66" s="925"/>
      <c r="V66" s="926"/>
      <c r="W66" s="866">
        <f>2383.752+1694.877</f>
        <v>4078.6289999999999</v>
      </c>
      <c r="X66" s="871"/>
      <c r="Y66" s="871"/>
      <c r="Z66" s="259">
        <f t="shared" si="8"/>
        <v>4078.6289999999999</v>
      </c>
      <c r="AA66" s="962"/>
      <c r="AB66" s="871"/>
      <c r="AC66" s="962"/>
      <c r="AD66" s="870">
        <v>3929.7990000000004</v>
      </c>
      <c r="AE66" s="871"/>
      <c r="AF66" s="871"/>
      <c r="AG66" s="259">
        <f t="shared" si="44"/>
        <v>3929.7990000000004</v>
      </c>
      <c r="AH66" s="962"/>
      <c r="AI66" s="871"/>
      <c r="AJ66" s="878"/>
      <c r="AK66" s="866">
        <f>AD66+(AD66*$AP$119)</f>
        <v>3937.6585980000004</v>
      </c>
      <c r="AL66" s="867"/>
      <c r="AM66" s="867"/>
      <c r="AN66" s="146">
        <f t="shared" si="2"/>
        <v>3937.6585980000004</v>
      </c>
      <c r="AO66" s="871"/>
      <c r="AP66" s="871"/>
      <c r="AQ66" s="879"/>
      <c r="AR66" s="1433">
        <f>0.00214+$AU$126</f>
        <v>9.2747499999999997E-2</v>
      </c>
      <c r="AS66" s="1434">
        <f>0.00214+$AU$126</f>
        <v>9.2747499999999997E-2</v>
      </c>
      <c r="AT66" s="1434">
        <f>0.00214+$AU$126</f>
        <v>9.2747499999999997E-2</v>
      </c>
      <c r="AU66" s="282">
        <v>4.4900000000000002E-2</v>
      </c>
      <c r="AV66" s="282"/>
      <c r="AW66" s="282"/>
      <c r="AX66" s="282"/>
      <c r="AY66" s="282"/>
      <c r="AZ66" s="873">
        <f t="shared" ref="AZ66:AZ67" si="59">100%-BA66</f>
        <v>1</v>
      </c>
      <c r="BA66" s="873">
        <v>0</v>
      </c>
      <c r="BB66" s="873">
        <f t="shared" ref="BB66:BB67" si="60">100%-BC66</f>
        <v>1</v>
      </c>
      <c r="BC66" s="873">
        <v>0</v>
      </c>
      <c r="BD66" s="1423"/>
      <c r="BE66" s="283">
        <v>0.49</v>
      </c>
      <c r="BF66" s="283"/>
      <c r="BG66" s="282"/>
      <c r="BH66" s="282"/>
      <c r="BI66" s="283"/>
      <c r="BJ66" s="281">
        <v>8.3999999999999995E-3</v>
      </c>
      <c r="BK66" s="307">
        <v>2.0999999999999999E-3</v>
      </c>
      <c r="BL66" s="289">
        <f t="shared" si="14"/>
        <v>642.15427714720499</v>
      </c>
      <c r="BM66" s="874" t="str">
        <f t="shared" si="33"/>
        <v>-</v>
      </c>
      <c r="BN66" s="874">
        <f t="shared" si="34"/>
        <v>642.15427714720499</v>
      </c>
      <c r="BO66" s="875"/>
    </row>
    <row r="67" spans="1:68">
      <c r="A67" s="309">
        <v>62</v>
      </c>
      <c r="B67" s="1426" t="s">
        <v>460</v>
      </c>
      <c r="C67" s="1427" t="s">
        <v>1084</v>
      </c>
      <c r="D67" s="856" t="s">
        <v>774</v>
      </c>
      <c r="E67" s="308" t="s">
        <v>527</v>
      </c>
      <c r="F67" s="255" t="s">
        <v>462</v>
      </c>
      <c r="G67" s="479" t="s">
        <v>559</v>
      </c>
      <c r="H67" s="923">
        <v>40</v>
      </c>
      <c r="I67" s="912"/>
      <c r="J67" s="913">
        <v>246.864</v>
      </c>
      <c r="K67" s="913">
        <v>157.18600000000001</v>
      </c>
      <c r="L67" s="146">
        <f t="shared" si="0"/>
        <v>404.05</v>
      </c>
      <c r="M67" s="925"/>
      <c r="N67" s="919"/>
      <c r="O67" s="878"/>
      <c r="P67" s="866"/>
      <c r="Q67" s="913">
        <v>377.964</v>
      </c>
      <c r="R67" s="913">
        <v>355.89600000000002</v>
      </c>
      <c r="S67" s="146">
        <f t="shared" si="1"/>
        <v>733.86</v>
      </c>
      <c r="T67" s="925"/>
      <c r="U67" s="925"/>
      <c r="V67" s="926"/>
      <c r="W67" s="866"/>
      <c r="X67" s="871">
        <f>1085.201+596.25</f>
        <v>1681.451</v>
      </c>
      <c r="Y67" s="871">
        <f>1183.389+644.289</f>
        <v>1827.6779999999999</v>
      </c>
      <c r="Z67" s="259">
        <f t="shared" si="8"/>
        <v>3509.1289999999999</v>
      </c>
      <c r="AA67" s="962"/>
      <c r="AB67" s="871"/>
      <c r="AC67" s="878"/>
      <c r="AD67" s="866"/>
      <c r="AE67" s="871">
        <v>1948.1220000000003</v>
      </c>
      <c r="AF67" s="871">
        <v>2065.0559999999996</v>
      </c>
      <c r="AG67" s="259">
        <f t="shared" si="44"/>
        <v>4013.1779999999999</v>
      </c>
      <c r="AH67" s="962"/>
      <c r="AI67" s="871"/>
      <c r="AJ67" s="878"/>
      <c r="AK67" s="866"/>
      <c r="AL67" s="867">
        <f>AE67+(AE67*$AP$119)</f>
        <v>1952.0182440000003</v>
      </c>
      <c r="AM67" s="867">
        <f>AF67+(AF67*$AP$119)</f>
        <v>2069.1861119999994</v>
      </c>
      <c r="AN67" s="146">
        <f t="shared" si="2"/>
        <v>4021.2043559999997</v>
      </c>
      <c r="AO67" s="871"/>
      <c r="AP67" s="871"/>
      <c r="AQ67" s="879"/>
      <c r="AR67" s="1433">
        <f>0.00214+$AU$126</f>
        <v>9.2747499999999997E-2</v>
      </c>
      <c r="AS67" s="1434">
        <f>0.00214+$AU$126</f>
        <v>9.2747499999999997E-2</v>
      </c>
      <c r="AT67" s="1434">
        <f>0.00214+$AU$126</f>
        <v>9.2747499999999997E-2</v>
      </c>
      <c r="AU67" s="282"/>
      <c r="AV67" s="282">
        <v>5.04E-2</v>
      </c>
      <c r="AW67" s="282">
        <v>4.1300000000000003E-2</v>
      </c>
      <c r="AX67" s="282"/>
      <c r="AY67" s="282"/>
      <c r="AZ67" s="873">
        <f t="shared" si="59"/>
        <v>1</v>
      </c>
      <c r="BA67" s="873">
        <v>0</v>
      </c>
      <c r="BB67" s="873">
        <f t="shared" si="60"/>
        <v>1</v>
      </c>
      <c r="BC67" s="873">
        <v>0</v>
      </c>
      <c r="BD67" s="1423"/>
      <c r="BE67" s="283">
        <v>0.49</v>
      </c>
      <c r="BF67" s="283"/>
      <c r="BG67" s="263"/>
      <c r="BH67" s="263"/>
      <c r="BI67" s="288"/>
      <c r="BJ67" s="281">
        <v>8.3999999999999995E-3</v>
      </c>
      <c r="BK67" s="307">
        <v>2.0999999999999999E-3</v>
      </c>
      <c r="BL67" s="289">
        <f t="shared" si="14"/>
        <v>834.21840266930997</v>
      </c>
      <c r="BM67" s="874" t="str">
        <f t="shared" si="33"/>
        <v>-</v>
      </c>
      <c r="BN67" s="874">
        <f t="shared" si="34"/>
        <v>834.21840266930997</v>
      </c>
      <c r="BO67" s="875"/>
    </row>
    <row r="68" spans="1:68">
      <c r="A68" s="309">
        <v>63</v>
      </c>
      <c r="B68" s="1426" t="s">
        <v>460</v>
      </c>
      <c r="C68" s="1427" t="s">
        <v>1077</v>
      </c>
      <c r="D68" s="856" t="s">
        <v>773</v>
      </c>
      <c r="E68" s="308" t="s">
        <v>502</v>
      </c>
      <c r="F68" s="255" t="s">
        <v>462</v>
      </c>
      <c r="G68" s="479" t="s">
        <v>558</v>
      </c>
      <c r="H68" s="923">
        <v>80</v>
      </c>
      <c r="I68" s="912"/>
      <c r="J68" s="913">
        <v>46542.574000000001</v>
      </c>
      <c r="K68" s="913">
        <v>35250.262999999999</v>
      </c>
      <c r="L68" s="146">
        <f t="shared" si="0"/>
        <v>81792.837</v>
      </c>
      <c r="M68" s="925">
        <v>0</v>
      </c>
      <c r="N68" s="919">
        <v>0</v>
      </c>
      <c r="O68" s="878">
        <v>0</v>
      </c>
      <c r="P68" s="866"/>
      <c r="Q68" s="913">
        <v>47008.69</v>
      </c>
      <c r="R68" s="913">
        <v>33698.419000000002</v>
      </c>
      <c r="S68" s="146">
        <f t="shared" si="1"/>
        <v>80707.108999999997</v>
      </c>
      <c r="T68" s="925">
        <v>0</v>
      </c>
      <c r="U68" s="925">
        <v>0</v>
      </c>
      <c r="V68" s="926">
        <v>0</v>
      </c>
      <c r="W68" s="866"/>
      <c r="X68" s="871">
        <v>43219.799999999988</v>
      </c>
      <c r="Y68" s="871">
        <v>31526.984</v>
      </c>
      <c r="Z68" s="259">
        <f t="shared" si="8"/>
        <v>74746.783999999985</v>
      </c>
      <c r="AA68" s="962">
        <v>0</v>
      </c>
      <c r="AB68" s="871">
        <v>0</v>
      </c>
      <c r="AC68" s="878">
        <v>0</v>
      </c>
      <c r="AD68" s="866"/>
      <c r="AE68" s="871">
        <v>32651.051000000003</v>
      </c>
      <c r="AF68" s="871">
        <v>19876.734000000004</v>
      </c>
      <c r="AG68" s="259">
        <f t="shared" si="44"/>
        <v>52527.785000000003</v>
      </c>
      <c r="AH68" s="962">
        <v>0</v>
      </c>
      <c r="AI68" s="871">
        <v>0</v>
      </c>
      <c r="AJ68" s="878">
        <v>0</v>
      </c>
      <c r="AK68" s="866"/>
      <c r="AL68" s="867">
        <f>AE68+(AE68*$AP$118)</f>
        <v>32683.702051000004</v>
      </c>
      <c r="AM68" s="867">
        <f>AF68+(AF68*$AP$118)</f>
        <v>19896.610734000005</v>
      </c>
      <c r="AN68" s="146">
        <f t="shared" si="2"/>
        <v>52580.312785000009</v>
      </c>
      <c r="AO68" s="962">
        <f>AH68+(AH68*$AP$118)</f>
        <v>0</v>
      </c>
      <c r="AP68" s="867">
        <f>AI68+(AI68*$AP$118)</f>
        <v>0</v>
      </c>
      <c r="AQ68" s="867">
        <f>AJ68+(AJ68*$AP$118)</f>
        <v>0</v>
      </c>
      <c r="AR68" s="1433">
        <f>0.00214+$AU$126</f>
        <v>9.2747499999999997E-2</v>
      </c>
      <c r="AS68" s="1434">
        <f>0.00214+$AU$126</f>
        <v>9.2747499999999997E-2</v>
      </c>
      <c r="AT68" s="1434">
        <f>0.00214+$AU$126</f>
        <v>9.2747499999999997E-2</v>
      </c>
      <c r="AU68" s="282"/>
      <c r="AV68" s="282">
        <v>4.19E-2</v>
      </c>
      <c r="AW68" s="282">
        <v>2.6800000000000001E-2</v>
      </c>
      <c r="AX68" s="282"/>
      <c r="AY68" s="282"/>
      <c r="AZ68" s="873">
        <f t="shared" ref="AZ68:AZ71" si="61">100%-BA68</f>
        <v>1</v>
      </c>
      <c r="BA68" s="873">
        <v>0</v>
      </c>
      <c r="BB68" s="873">
        <f t="shared" ref="BB68:BB71" si="62">100%-BC68</f>
        <v>1</v>
      </c>
      <c r="BC68" s="873">
        <v>0</v>
      </c>
      <c r="BD68" s="1423"/>
      <c r="BE68" s="283">
        <v>0.73</v>
      </c>
      <c r="BF68" s="283"/>
      <c r="BG68" s="263">
        <v>6.8999999999999999E-3</v>
      </c>
      <c r="BH68" s="263">
        <v>9.7000000000000003E-3</v>
      </c>
      <c r="BI68" s="283"/>
      <c r="BJ68" s="281">
        <v>8.3999999999999995E-3</v>
      </c>
      <c r="BK68" s="307">
        <v>2.0999999999999999E-3</v>
      </c>
      <c r="BL68" s="289">
        <f t="shared" si="14"/>
        <v>8032.2621278773886</v>
      </c>
      <c r="BM68" s="874">
        <f t="shared" si="33"/>
        <v>8032.2621278773886</v>
      </c>
      <c r="BN68" s="874" t="str">
        <f t="shared" si="34"/>
        <v>-</v>
      </c>
      <c r="BO68" s="875"/>
    </row>
    <row r="69" spans="1:68">
      <c r="A69" s="309">
        <v>64</v>
      </c>
      <c r="B69" s="1426" t="s">
        <v>438</v>
      </c>
      <c r="C69" s="1427" t="s">
        <v>1083</v>
      </c>
      <c r="D69" s="856" t="s">
        <v>773</v>
      </c>
      <c r="E69" s="308" t="s">
        <v>532</v>
      </c>
      <c r="F69" s="255" t="s">
        <v>462</v>
      </c>
      <c r="G69" s="479" t="s">
        <v>560</v>
      </c>
      <c r="H69" s="923">
        <v>16</v>
      </c>
      <c r="I69" s="912"/>
      <c r="J69" s="913">
        <v>3351.645</v>
      </c>
      <c r="K69" s="913">
        <v>3523.0450000000001</v>
      </c>
      <c r="L69" s="146">
        <f t="shared" si="0"/>
        <v>6874.6900000000005</v>
      </c>
      <c r="M69" s="877"/>
      <c r="N69" s="871"/>
      <c r="O69" s="878"/>
      <c r="P69" s="866"/>
      <c r="Q69" s="913">
        <v>4313.1090000000004</v>
      </c>
      <c r="R69" s="913">
        <v>4942.4610000000002</v>
      </c>
      <c r="S69" s="146">
        <f t="shared" si="1"/>
        <v>9255.57</v>
      </c>
      <c r="T69" s="877"/>
      <c r="U69" s="871"/>
      <c r="V69" s="878"/>
      <c r="W69" s="866">
        <f>5290.829+1330.707</f>
        <v>6621.5360000000001</v>
      </c>
      <c r="X69" s="871"/>
      <c r="Y69" s="871"/>
      <c r="Z69" s="259">
        <f t="shared" si="8"/>
        <v>6621.5360000000001</v>
      </c>
      <c r="AA69" s="962"/>
      <c r="AB69" s="871"/>
      <c r="AC69" s="878"/>
      <c r="AD69" s="866">
        <v>4597.6840000000002</v>
      </c>
      <c r="AE69" s="871"/>
      <c r="AF69" s="871"/>
      <c r="AG69" s="259">
        <f t="shared" si="44"/>
        <v>4597.6840000000002</v>
      </c>
      <c r="AH69" s="962"/>
      <c r="AI69" s="871"/>
      <c r="AJ69" s="878"/>
      <c r="AK69" s="866">
        <f>AD69+(AD69*$AP$118)</f>
        <v>4602.2816840000005</v>
      </c>
      <c r="AL69" s="867"/>
      <c r="AM69" s="867"/>
      <c r="AN69" s="146">
        <f t="shared" si="2"/>
        <v>4602.2816840000005</v>
      </c>
      <c r="AO69" s="871"/>
      <c r="AP69" s="871"/>
      <c r="AQ69" s="879"/>
      <c r="AR69" s="1433">
        <f>0.00214+$AU$126</f>
        <v>9.2747499999999997E-2</v>
      </c>
      <c r="AS69" s="1434">
        <f>0.00214+$AU$126</f>
        <v>9.2747499999999997E-2</v>
      </c>
      <c r="AT69" s="1434">
        <f>0.00214+$AU$126</f>
        <v>9.2747499999999997E-2</v>
      </c>
      <c r="AU69" s="282">
        <v>4.4900000000000002E-2</v>
      </c>
      <c r="AV69" s="282"/>
      <c r="AW69" s="282"/>
      <c r="AX69" s="282"/>
      <c r="AY69" s="282"/>
      <c r="AZ69" s="873">
        <f t="shared" si="61"/>
        <v>1</v>
      </c>
      <c r="BA69" s="873">
        <v>0</v>
      </c>
      <c r="BB69" s="873">
        <f t="shared" si="62"/>
        <v>1</v>
      </c>
      <c r="BC69" s="873">
        <v>0</v>
      </c>
      <c r="BD69" s="1423"/>
      <c r="BE69" s="283">
        <v>0.49</v>
      </c>
      <c r="BF69" s="283"/>
      <c r="BG69" s="282"/>
      <c r="BH69" s="282"/>
      <c r="BI69" s="283"/>
      <c r="BJ69" s="281">
        <v>8.3999999999999995E-3</v>
      </c>
      <c r="BK69" s="307">
        <v>2.0999999999999999E-3</v>
      </c>
      <c r="BL69" s="289">
        <f t="shared" si="14"/>
        <v>775.89652578039011</v>
      </c>
      <c r="BM69" s="874">
        <f t="shared" si="33"/>
        <v>775.89652578039011</v>
      </c>
      <c r="BN69" s="874" t="str">
        <f t="shared" si="34"/>
        <v>-</v>
      </c>
      <c r="BO69" s="875"/>
    </row>
    <row r="70" spans="1:68">
      <c r="A70" s="309">
        <v>65</v>
      </c>
      <c r="B70" s="1426" t="s">
        <v>438</v>
      </c>
      <c r="C70" s="1427" t="s">
        <v>1082</v>
      </c>
      <c r="D70" s="856" t="s">
        <v>773</v>
      </c>
      <c r="E70" s="308" t="s">
        <v>533</v>
      </c>
      <c r="F70" s="255" t="s">
        <v>462</v>
      </c>
      <c r="G70" s="479" t="s">
        <v>560</v>
      </c>
      <c r="H70" s="923">
        <v>25</v>
      </c>
      <c r="I70" s="912"/>
      <c r="J70" s="913">
        <v>3165.5210000000002</v>
      </c>
      <c r="K70" s="913">
        <v>3434.7080000000001</v>
      </c>
      <c r="L70" s="146">
        <f t="shared" si="0"/>
        <v>6600.2290000000003</v>
      </c>
      <c r="M70" s="877"/>
      <c r="N70" s="871"/>
      <c r="O70" s="878"/>
      <c r="P70" s="866"/>
      <c r="Q70" s="913">
        <v>2723.24</v>
      </c>
      <c r="R70" s="913">
        <v>3012.63</v>
      </c>
      <c r="S70" s="146">
        <f t="shared" si="1"/>
        <v>5735.87</v>
      </c>
      <c r="T70" s="877"/>
      <c r="U70" s="871"/>
      <c r="V70" s="878"/>
      <c r="W70" s="866">
        <f>8659.905+1526.027</f>
        <v>10185.932000000001</v>
      </c>
      <c r="X70" s="871"/>
      <c r="Y70" s="871"/>
      <c r="Z70" s="259">
        <f t="shared" si="8"/>
        <v>10185.932000000001</v>
      </c>
      <c r="AA70" s="962"/>
      <c r="AB70" s="871"/>
      <c r="AC70" s="878"/>
      <c r="AD70" s="866">
        <v>9928.5499999999993</v>
      </c>
      <c r="AE70" s="871"/>
      <c r="AF70" s="871"/>
      <c r="AG70" s="259">
        <f t="shared" si="44"/>
        <v>9928.5499999999993</v>
      </c>
      <c r="AH70" s="962"/>
      <c r="AI70" s="871"/>
      <c r="AJ70" s="878"/>
      <c r="AK70" s="866">
        <f>AD70+(AD70*$AP$118)</f>
        <v>9938.4785499999998</v>
      </c>
      <c r="AL70" s="867"/>
      <c r="AM70" s="867"/>
      <c r="AN70" s="146">
        <f t="shared" si="2"/>
        <v>9938.4785499999998</v>
      </c>
      <c r="AO70" s="871"/>
      <c r="AP70" s="871"/>
      <c r="AQ70" s="879"/>
      <c r="AR70" s="1433">
        <f>0.00214+$AU$126</f>
        <v>9.2747499999999997E-2</v>
      </c>
      <c r="AS70" s="1434">
        <f>0.00214+$AU$126</f>
        <v>9.2747499999999997E-2</v>
      </c>
      <c r="AT70" s="1434">
        <f>0.00214+$AU$126</f>
        <v>9.2747499999999997E-2</v>
      </c>
      <c r="AU70" s="282">
        <v>4.4900000000000002E-2</v>
      </c>
      <c r="AV70" s="282"/>
      <c r="AW70" s="282"/>
      <c r="AX70" s="282"/>
      <c r="AY70" s="282"/>
      <c r="AZ70" s="873">
        <f t="shared" si="61"/>
        <v>1</v>
      </c>
      <c r="BA70" s="873">
        <v>0</v>
      </c>
      <c r="BB70" s="873">
        <f t="shared" si="62"/>
        <v>1</v>
      </c>
      <c r="BC70" s="873">
        <v>0</v>
      </c>
      <c r="BD70" s="1423"/>
      <c r="BE70" s="283">
        <v>0.49</v>
      </c>
      <c r="BF70" s="283"/>
      <c r="BG70" s="282"/>
      <c r="BH70" s="282"/>
      <c r="BI70" s="283"/>
      <c r="BJ70" s="281">
        <v>8.3999999999999995E-3</v>
      </c>
      <c r="BK70" s="307">
        <v>2.0999999999999999E-3</v>
      </c>
      <c r="BL70" s="289">
        <f t="shared" si="14"/>
        <v>1619.3607509861249</v>
      </c>
      <c r="BM70" s="874">
        <f t="shared" si="33"/>
        <v>1619.3607509861249</v>
      </c>
      <c r="BN70" s="874" t="str">
        <f t="shared" si="34"/>
        <v>-</v>
      </c>
      <c r="BO70" s="875"/>
    </row>
    <row r="71" spans="1:68">
      <c r="A71" s="309">
        <v>66</v>
      </c>
      <c r="B71" s="1426" t="s">
        <v>463</v>
      </c>
      <c r="C71" s="1427" t="s">
        <v>1088</v>
      </c>
      <c r="D71" s="856" t="s">
        <v>774</v>
      </c>
      <c r="E71" s="308" t="s">
        <v>504</v>
      </c>
      <c r="F71" s="255" t="s">
        <v>462</v>
      </c>
      <c r="G71" s="479" t="s">
        <v>559</v>
      </c>
      <c r="H71" s="923">
        <v>16</v>
      </c>
      <c r="I71" s="912"/>
      <c r="J71" s="913">
        <v>742.39400000000001</v>
      </c>
      <c r="K71" s="913">
        <v>728.19600000000003</v>
      </c>
      <c r="L71" s="146">
        <f t="shared" si="0"/>
        <v>1470.5900000000001</v>
      </c>
      <c r="M71" s="877"/>
      <c r="N71" s="871"/>
      <c r="O71" s="878"/>
      <c r="P71" s="866"/>
      <c r="Q71" s="913">
        <v>610.69500000000005</v>
      </c>
      <c r="R71" s="913">
        <v>592.90499999999997</v>
      </c>
      <c r="S71" s="146">
        <f t="shared" si="1"/>
        <v>1203.5999999999999</v>
      </c>
      <c r="T71" s="877"/>
      <c r="U71" s="871"/>
      <c r="V71" s="878"/>
      <c r="W71" s="866"/>
      <c r="X71" s="871">
        <f>439.219+415.75</f>
        <v>854.96900000000005</v>
      </c>
      <c r="Y71" s="871">
        <f>421.321+445.367</f>
        <v>866.6880000000001</v>
      </c>
      <c r="Z71" s="259">
        <f t="shared" si="8"/>
        <v>1721.6570000000002</v>
      </c>
      <c r="AA71" s="962"/>
      <c r="AB71" s="871"/>
      <c r="AC71" s="878"/>
      <c r="AD71" s="866"/>
      <c r="AE71" s="871">
        <v>1598.299</v>
      </c>
      <c r="AF71" s="871">
        <v>1726.1340000000002</v>
      </c>
      <c r="AG71" s="259">
        <f t="shared" si="44"/>
        <v>3324.433</v>
      </c>
      <c r="AH71" s="962"/>
      <c r="AI71" s="871"/>
      <c r="AJ71" s="878"/>
      <c r="AK71" s="870"/>
      <c r="AL71" s="867">
        <f>AE71+(AE71*$AP$119)</f>
        <v>1601.495598</v>
      </c>
      <c r="AM71" s="867">
        <f>AF71+(AF71*$AP$119)</f>
        <v>1729.5862680000002</v>
      </c>
      <c r="AN71" s="146">
        <f t="shared" si="2"/>
        <v>3331.0818660000004</v>
      </c>
      <c r="AO71" s="871"/>
      <c r="AP71" s="871"/>
      <c r="AQ71" s="879"/>
      <c r="AR71" s="1433">
        <f>0.00214+$AU$126</f>
        <v>9.2747499999999997E-2</v>
      </c>
      <c r="AS71" s="1434">
        <f>0.00214+$AU$126</f>
        <v>9.2747499999999997E-2</v>
      </c>
      <c r="AT71" s="1434">
        <f>0.00214+$AU$126</f>
        <v>9.2747499999999997E-2</v>
      </c>
      <c r="AU71" s="282"/>
      <c r="AV71" s="282">
        <v>5.04E-2</v>
      </c>
      <c r="AW71" s="282">
        <v>4.1300000000000003E-2</v>
      </c>
      <c r="AX71" s="282"/>
      <c r="AY71" s="282"/>
      <c r="AZ71" s="873">
        <f t="shared" si="61"/>
        <v>1</v>
      </c>
      <c r="BA71" s="873">
        <v>0</v>
      </c>
      <c r="BB71" s="873">
        <f t="shared" si="62"/>
        <v>1</v>
      </c>
      <c r="BC71" s="873">
        <v>0</v>
      </c>
      <c r="BD71" s="1423"/>
      <c r="BE71" s="283">
        <v>0.49</v>
      </c>
      <c r="BF71" s="283"/>
      <c r="BG71" s="263"/>
      <c r="BH71" s="263"/>
      <c r="BI71" s="288"/>
      <c r="BJ71" s="281">
        <v>8.3999999999999995E-3</v>
      </c>
      <c r="BK71" s="307">
        <v>2.0999999999999999E-3</v>
      </c>
      <c r="BL71" s="289">
        <f t="shared" si="14"/>
        <v>590.15316596743503</v>
      </c>
      <c r="BM71" s="874" t="str">
        <f t="shared" si="33"/>
        <v>-</v>
      </c>
      <c r="BN71" s="874">
        <f t="shared" si="34"/>
        <v>590.15316596743503</v>
      </c>
      <c r="BO71" s="875"/>
    </row>
    <row r="72" spans="1:68">
      <c r="A72" s="309">
        <v>67</v>
      </c>
      <c r="B72" s="1426" t="s">
        <v>438</v>
      </c>
      <c r="C72" s="1427" t="s">
        <v>1085</v>
      </c>
      <c r="D72" s="856" t="s">
        <v>773</v>
      </c>
      <c r="E72" s="308" t="s">
        <v>535</v>
      </c>
      <c r="F72" s="255" t="s">
        <v>462</v>
      </c>
      <c r="G72" s="479" t="s">
        <v>560</v>
      </c>
      <c r="H72" s="923">
        <v>25</v>
      </c>
      <c r="I72" s="912"/>
      <c r="J72" s="913">
        <v>1073.47</v>
      </c>
      <c r="K72" s="913">
        <v>1124.1400000000001</v>
      </c>
      <c r="L72" s="146">
        <f t="shared" si="0"/>
        <v>2197.61</v>
      </c>
      <c r="M72" s="877"/>
      <c r="N72" s="871"/>
      <c r="O72" s="878"/>
      <c r="P72" s="866"/>
      <c r="Q72" s="913">
        <v>718.12</v>
      </c>
      <c r="R72" s="913">
        <v>721.42200000000003</v>
      </c>
      <c r="S72" s="146">
        <f t="shared" si="1"/>
        <v>1439.5419999999999</v>
      </c>
      <c r="T72" s="877"/>
      <c r="U72" s="871"/>
      <c r="V72" s="878"/>
      <c r="W72" s="866">
        <v>3162.1979999999999</v>
      </c>
      <c r="X72" s="871"/>
      <c r="Y72" s="871"/>
      <c r="Z72" s="259">
        <f t="shared" si="8"/>
        <v>3162.1979999999999</v>
      </c>
      <c r="AA72" s="962"/>
      <c r="AB72" s="871"/>
      <c r="AC72" s="878"/>
      <c r="AD72" s="866">
        <v>3114.9930000000004</v>
      </c>
      <c r="AE72" s="871"/>
      <c r="AF72" s="871"/>
      <c r="AG72" s="259">
        <f t="shared" si="44"/>
        <v>3114.9930000000004</v>
      </c>
      <c r="AH72" s="962"/>
      <c r="AI72" s="871"/>
      <c r="AJ72" s="878"/>
      <c r="AK72" s="866">
        <f>AD72+(AD72*$AP$118)</f>
        <v>3118.1079930000005</v>
      </c>
      <c r="AL72" s="867"/>
      <c r="AM72" s="867"/>
      <c r="AN72" s="146">
        <f t="shared" si="2"/>
        <v>3118.1079930000005</v>
      </c>
      <c r="AO72" s="871"/>
      <c r="AP72" s="871"/>
      <c r="AQ72" s="879"/>
      <c r="AR72" s="1433">
        <f>0.00214+$AU$126</f>
        <v>9.2747499999999997E-2</v>
      </c>
      <c r="AS72" s="1434">
        <f>0.00214+$AU$126</f>
        <v>9.2747499999999997E-2</v>
      </c>
      <c r="AT72" s="1434">
        <f>0.00214+$AU$126</f>
        <v>9.2747499999999997E-2</v>
      </c>
      <c r="AU72" s="282">
        <v>4.4900000000000002E-2</v>
      </c>
      <c r="AV72" s="282"/>
      <c r="AW72" s="282"/>
      <c r="AX72" s="282"/>
      <c r="AY72" s="282"/>
      <c r="AZ72" s="873">
        <f t="shared" ref="AZ72:AZ75" si="63">100%-BA72</f>
        <v>1</v>
      </c>
      <c r="BA72" s="873">
        <v>0</v>
      </c>
      <c r="BB72" s="873">
        <f t="shared" ref="BB72:BB75" si="64">100%-BC72</f>
        <v>1</v>
      </c>
      <c r="BC72" s="873">
        <v>0</v>
      </c>
      <c r="BD72" s="1423"/>
      <c r="BE72" s="283">
        <v>0.49</v>
      </c>
      <c r="BF72" s="283"/>
      <c r="BG72" s="282"/>
      <c r="BH72" s="282"/>
      <c r="BI72" s="283"/>
      <c r="BJ72" s="281">
        <v>8.3999999999999995E-3</v>
      </c>
      <c r="BK72" s="307">
        <v>2.0999999999999999E-3</v>
      </c>
      <c r="BL72" s="289">
        <f t="shared" si="14"/>
        <v>608.93990389296755</v>
      </c>
      <c r="BM72" s="874">
        <f t="shared" si="33"/>
        <v>608.93990389296755</v>
      </c>
      <c r="BN72" s="874" t="str">
        <f t="shared" si="34"/>
        <v>-</v>
      </c>
      <c r="BO72" s="875"/>
    </row>
    <row r="73" spans="1:68" ht="28.8">
      <c r="A73" s="309">
        <v>68</v>
      </c>
      <c r="B73" s="1426" t="s">
        <v>460</v>
      </c>
      <c r="C73" s="1427" t="s">
        <v>1076</v>
      </c>
      <c r="D73" s="856" t="s">
        <v>1269</v>
      </c>
      <c r="E73" s="308" t="s">
        <v>542</v>
      </c>
      <c r="F73" s="255" t="s">
        <v>462</v>
      </c>
      <c r="G73" s="479" t="s">
        <v>560</v>
      </c>
      <c r="H73" s="923">
        <v>50</v>
      </c>
      <c r="I73" s="912"/>
      <c r="J73" s="913">
        <v>8334.741</v>
      </c>
      <c r="K73" s="913">
        <v>4884.5990000000002</v>
      </c>
      <c r="L73" s="146">
        <f t="shared" si="0"/>
        <v>13219.34</v>
      </c>
      <c r="M73" s="877"/>
      <c r="N73" s="871"/>
      <c r="O73" s="878"/>
      <c r="P73" s="866"/>
      <c r="Q73" s="913">
        <v>8278.8590000000004</v>
      </c>
      <c r="R73" s="913">
        <v>4967.0110000000004</v>
      </c>
      <c r="S73" s="146">
        <f t="shared" si="1"/>
        <v>13245.87</v>
      </c>
      <c r="T73" s="877"/>
      <c r="U73" s="871"/>
      <c r="V73" s="878"/>
      <c r="W73" s="866">
        <f>9170.899+4480.482</f>
        <v>13651.380999999999</v>
      </c>
      <c r="X73" s="871"/>
      <c r="Y73" s="871"/>
      <c r="Z73" s="259">
        <f t="shared" si="8"/>
        <v>13651.380999999999</v>
      </c>
      <c r="AA73" s="962"/>
      <c r="AB73" s="871"/>
      <c r="AC73" s="878"/>
      <c r="AD73" s="870">
        <v>12616.404000000002</v>
      </c>
      <c r="AE73" s="871"/>
      <c r="AF73" s="871"/>
      <c r="AG73" s="259">
        <f t="shared" si="44"/>
        <v>12616.404000000002</v>
      </c>
      <c r="AH73" s="962"/>
      <c r="AI73" s="871"/>
      <c r="AJ73" s="878"/>
      <c r="AK73" s="870">
        <f>AD73+(AD73*$AP$119)</f>
        <v>12641.636808000003</v>
      </c>
      <c r="AL73" s="867"/>
      <c r="AM73" s="867"/>
      <c r="AN73" s="146">
        <f t="shared" si="2"/>
        <v>12641.636808000003</v>
      </c>
      <c r="AO73" s="871"/>
      <c r="AP73" s="871"/>
      <c r="AQ73" s="879"/>
      <c r="AR73" s="1433">
        <f>0.00214+$AU$126</f>
        <v>9.2747499999999997E-2</v>
      </c>
      <c r="AS73" s="1434">
        <f>0.00214+$AU$126</f>
        <v>9.2747499999999997E-2</v>
      </c>
      <c r="AT73" s="1434">
        <f>0.00214+$AU$126</f>
        <v>9.2747499999999997E-2</v>
      </c>
      <c r="AU73" s="282">
        <v>4.4900000000000002E-2</v>
      </c>
      <c r="AV73" s="282"/>
      <c r="AW73" s="282"/>
      <c r="AX73" s="282"/>
      <c r="AY73" s="282"/>
      <c r="AZ73" s="873">
        <f t="shared" si="63"/>
        <v>1</v>
      </c>
      <c r="BA73" s="873">
        <v>0</v>
      </c>
      <c r="BB73" s="873">
        <f t="shared" si="64"/>
        <v>1</v>
      </c>
      <c r="BC73" s="873">
        <v>0</v>
      </c>
      <c r="BD73" s="1423"/>
      <c r="BE73" s="283">
        <v>0.49</v>
      </c>
      <c r="BF73" s="283"/>
      <c r="BG73" s="282"/>
      <c r="BH73" s="282"/>
      <c r="BI73" s="283"/>
      <c r="BJ73" s="281">
        <v>8.3999999999999995E-3</v>
      </c>
      <c r="BK73" s="307">
        <v>2.0999999999999999E-3</v>
      </c>
      <c r="BL73" s="289">
        <f t="shared" si="14"/>
        <v>2166.8268890131803</v>
      </c>
      <c r="BM73" s="956">
        <f>40%*BL73</f>
        <v>866.73075560527218</v>
      </c>
      <c r="BN73" s="956">
        <f>40%*BL73</f>
        <v>866.73075560527218</v>
      </c>
      <c r="BO73" s="875">
        <f>20%*BL73</f>
        <v>433.36537780263609</v>
      </c>
      <c r="BP73" s="881"/>
    </row>
    <row r="74" spans="1:68">
      <c r="A74" s="309">
        <v>69</v>
      </c>
      <c r="B74" s="1426" t="s">
        <v>460</v>
      </c>
      <c r="C74" s="1427" t="s">
        <v>1075</v>
      </c>
      <c r="D74" s="856" t="s">
        <v>773</v>
      </c>
      <c r="E74" s="308" t="s">
        <v>536</v>
      </c>
      <c r="F74" s="255" t="s">
        <v>462</v>
      </c>
      <c r="G74" s="479" t="s">
        <v>559</v>
      </c>
      <c r="H74" s="923">
        <v>40</v>
      </c>
      <c r="I74" s="912"/>
      <c r="J74" s="913">
        <v>0</v>
      </c>
      <c r="K74" s="913">
        <v>0.03</v>
      </c>
      <c r="L74" s="146">
        <f t="shared" si="0"/>
        <v>0.03</v>
      </c>
      <c r="M74" s="877"/>
      <c r="N74" s="871"/>
      <c r="O74" s="878"/>
      <c r="P74" s="866"/>
      <c r="Q74" s="913">
        <v>0</v>
      </c>
      <c r="R74" s="913">
        <v>0</v>
      </c>
      <c r="S74" s="146">
        <f t="shared" si="1"/>
        <v>0</v>
      </c>
      <c r="T74" s="877"/>
      <c r="U74" s="871"/>
      <c r="V74" s="878"/>
      <c r="W74" s="866"/>
      <c r="X74" s="871">
        <v>0</v>
      </c>
      <c r="Y74" s="871">
        <v>0</v>
      </c>
      <c r="Z74" s="259">
        <f t="shared" si="8"/>
        <v>0</v>
      </c>
      <c r="AA74" s="962"/>
      <c r="AB74" s="871"/>
      <c r="AC74" s="878"/>
      <c r="AD74" s="866"/>
      <c r="AE74" s="871">
        <v>0</v>
      </c>
      <c r="AF74" s="871">
        <v>0</v>
      </c>
      <c r="AG74" s="259">
        <f t="shared" si="44"/>
        <v>0</v>
      </c>
      <c r="AH74" s="962"/>
      <c r="AI74" s="871"/>
      <c r="AJ74" s="878"/>
      <c r="AK74" s="866"/>
      <c r="AL74" s="867">
        <f>AE74+(AE74*$AP$118)</f>
        <v>0</v>
      </c>
      <c r="AM74" s="867">
        <f>AF74+(AF74*$AP$118)</f>
        <v>0</v>
      </c>
      <c r="AN74" s="146">
        <f t="shared" si="2"/>
        <v>0</v>
      </c>
      <c r="AO74" s="871"/>
      <c r="AP74" s="871"/>
      <c r="AQ74" s="879"/>
      <c r="AR74" s="1433">
        <f>0.00214+$AU$126</f>
        <v>9.2747499999999997E-2</v>
      </c>
      <c r="AS74" s="1434">
        <f>0.00214+$AU$126</f>
        <v>9.2747499999999997E-2</v>
      </c>
      <c r="AT74" s="1434">
        <f>0.00214+$AU$126</f>
        <v>9.2747499999999997E-2</v>
      </c>
      <c r="AU74" s="282"/>
      <c r="AV74" s="282">
        <v>5.04E-2</v>
      </c>
      <c r="AW74" s="282">
        <v>4.1300000000000003E-2</v>
      </c>
      <c r="AX74" s="282"/>
      <c r="AY74" s="282"/>
      <c r="AZ74" s="873">
        <f t="shared" si="63"/>
        <v>1</v>
      </c>
      <c r="BA74" s="873">
        <v>0</v>
      </c>
      <c r="BB74" s="873">
        <f t="shared" si="64"/>
        <v>1</v>
      </c>
      <c r="BC74" s="873">
        <v>0</v>
      </c>
      <c r="BD74" s="1423"/>
      <c r="BE74" s="283">
        <v>0.49</v>
      </c>
      <c r="BF74" s="283"/>
      <c r="BG74" s="263"/>
      <c r="BH74" s="263"/>
      <c r="BI74" s="288"/>
      <c r="BJ74" s="281">
        <v>8.3999999999999995E-3</v>
      </c>
      <c r="BK74" s="307">
        <v>2.0999999999999999E-3</v>
      </c>
      <c r="BL74" s="289">
        <f t="shared" si="14"/>
        <v>235.20000000000002</v>
      </c>
      <c r="BM74" s="874">
        <f t="shared" ref="BM74:BM106" si="65">IF(D74="V",BL74-BO74,"-")</f>
        <v>235.20000000000002</v>
      </c>
      <c r="BN74" s="874" t="str">
        <f t="shared" ref="BN74:BN106" si="66">IF(D74="R",BL74-BO74,"-")</f>
        <v>-</v>
      </c>
      <c r="BO74" s="875"/>
    </row>
    <row r="75" spans="1:68">
      <c r="A75" s="309">
        <v>70</v>
      </c>
      <c r="B75" s="1426" t="s">
        <v>460</v>
      </c>
      <c r="C75" s="1427" t="s">
        <v>478</v>
      </c>
      <c r="D75" s="856" t="s">
        <v>773</v>
      </c>
      <c r="E75" s="308" t="s">
        <v>521</v>
      </c>
      <c r="F75" s="255" t="s">
        <v>462</v>
      </c>
      <c r="G75" s="479" t="s">
        <v>559</v>
      </c>
      <c r="H75" s="923">
        <v>50</v>
      </c>
      <c r="I75" s="912"/>
      <c r="J75" s="913">
        <v>30741.98</v>
      </c>
      <c r="K75" s="913">
        <v>28533.703000000001</v>
      </c>
      <c r="L75" s="146">
        <f t="shared" si="0"/>
        <v>59275.683000000005</v>
      </c>
      <c r="M75" s="877"/>
      <c r="N75" s="871"/>
      <c r="O75" s="878"/>
      <c r="P75" s="866"/>
      <c r="Q75" s="913">
        <v>31234.19</v>
      </c>
      <c r="R75" s="913">
        <v>29427.066999999999</v>
      </c>
      <c r="S75" s="146">
        <f t="shared" si="1"/>
        <v>60661.256999999998</v>
      </c>
      <c r="T75" s="877"/>
      <c r="U75" s="871"/>
      <c r="V75" s="878"/>
      <c r="W75" s="866"/>
      <c r="X75" s="871">
        <v>25963.13</v>
      </c>
      <c r="Y75" s="871">
        <v>23586.102000000003</v>
      </c>
      <c r="Z75" s="259">
        <f t="shared" si="8"/>
        <v>49549.232000000004</v>
      </c>
      <c r="AA75" s="962"/>
      <c r="AB75" s="871"/>
      <c r="AC75" s="878"/>
      <c r="AD75" s="866"/>
      <c r="AE75" s="871">
        <v>21008.290999999997</v>
      </c>
      <c r="AF75" s="871">
        <v>21113.93</v>
      </c>
      <c r="AG75" s="259">
        <f t="shared" si="44"/>
        <v>42122.220999999998</v>
      </c>
      <c r="AH75" s="962"/>
      <c r="AI75" s="871"/>
      <c r="AJ75" s="878"/>
      <c r="AK75" s="866"/>
      <c r="AL75" s="867">
        <f>AE75+(AE75*$AP$118)</f>
        <v>21029.299290999996</v>
      </c>
      <c r="AM75" s="867">
        <f>AF75+(AF75*$AP$118)</f>
        <v>21135.04393</v>
      </c>
      <c r="AN75" s="146">
        <f t="shared" si="2"/>
        <v>42164.343220999996</v>
      </c>
      <c r="AO75" s="871"/>
      <c r="AP75" s="871"/>
      <c r="AQ75" s="879"/>
      <c r="AR75" s="1433">
        <f>0.00214+$AU$126</f>
        <v>9.2747499999999997E-2</v>
      </c>
      <c r="AS75" s="1434">
        <f>0.00214+$AU$126</f>
        <v>9.2747499999999997E-2</v>
      </c>
      <c r="AT75" s="1434">
        <f>0.00214+$AU$126</f>
        <v>9.2747499999999997E-2</v>
      </c>
      <c r="AU75" s="282"/>
      <c r="AV75" s="282">
        <v>5.04E-2</v>
      </c>
      <c r="AW75" s="282">
        <v>4.1300000000000003E-2</v>
      </c>
      <c r="AX75" s="282"/>
      <c r="AY75" s="282"/>
      <c r="AZ75" s="873">
        <f t="shared" si="63"/>
        <v>1</v>
      </c>
      <c r="BA75" s="873">
        <v>0</v>
      </c>
      <c r="BB75" s="873">
        <f t="shared" si="64"/>
        <v>1</v>
      </c>
      <c r="BC75" s="873">
        <v>0</v>
      </c>
      <c r="BD75" s="1423"/>
      <c r="BE75" s="283">
        <v>0.49</v>
      </c>
      <c r="BF75" s="283"/>
      <c r="BG75" s="263"/>
      <c r="BH75" s="263"/>
      <c r="BI75" s="288"/>
      <c r="BJ75" s="281">
        <v>8.3999999999999995E-3</v>
      </c>
      <c r="BK75" s="307">
        <v>2.0999999999999999E-3</v>
      </c>
      <c r="BL75" s="289">
        <f t="shared" si="14"/>
        <v>6580.1170252855964</v>
      </c>
      <c r="BM75" s="874">
        <f t="shared" si="65"/>
        <v>6580.1170252855964</v>
      </c>
      <c r="BN75" s="874" t="str">
        <f t="shared" si="66"/>
        <v>-</v>
      </c>
      <c r="BO75" s="875"/>
    </row>
    <row r="76" spans="1:68">
      <c r="A76" s="309">
        <v>71</v>
      </c>
      <c r="B76" s="1426" t="s">
        <v>463</v>
      </c>
      <c r="C76" s="1427" t="s">
        <v>548</v>
      </c>
      <c r="D76" s="856" t="s">
        <v>773</v>
      </c>
      <c r="E76" s="308" t="s">
        <v>523</v>
      </c>
      <c r="F76" s="255" t="s">
        <v>462</v>
      </c>
      <c r="G76" s="479" t="s">
        <v>560</v>
      </c>
      <c r="H76" s="923">
        <v>20</v>
      </c>
      <c r="I76" s="912"/>
      <c r="J76" s="913">
        <v>2705.759</v>
      </c>
      <c r="K76" s="913">
        <v>2738.3409999999999</v>
      </c>
      <c r="L76" s="146">
        <f t="shared" si="0"/>
        <v>5444.1</v>
      </c>
      <c r="M76" s="877"/>
      <c r="N76" s="871"/>
      <c r="O76" s="878"/>
      <c r="P76" s="866"/>
      <c r="Q76" s="913">
        <v>3069.652</v>
      </c>
      <c r="R76" s="913">
        <v>3281.7179999999998</v>
      </c>
      <c r="S76" s="146">
        <f t="shared" si="1"/>
        <v>6351.37</v>
      </c>
      <c r="T76" s="877"/>
      <c r="U76" s="871"/>
      <c r="V76" s="878"/>
      <c r="W76" s="866">
        <f>2986.353+1290.717</f>
        <v>4277.07</v>
      </c>
      <c r="X76" s="871"/>
      <c r="Y76" s="871"/>
      <c r="Z76" s="259">
        <f t="shared" si="8"/>
        <v>4277.07</v>
      </c>
      <c r="AA76" s="962"/>
      <c r="AB76" s="871"/>
      <c r="AC76" s="878"/>
      <c r="AD76" s="866">
        <v>4587.8779999999997</v>
      </c>
      <c r="AE76" s="871"/>
      <c r="AF76" s="871"/>
      <c r="AG76" s="259">
        <f t="shared" si="44"/>
        <v>4587.8779999999997</v>
      </c>
      <c r="AH76" s="962"/>
      <c r="AI76" s="871"/>
      <c r="AJ76" s="878"/>
      <c r="AK76" s="866">
        <f>AD76+(AD76*$AP$118)</f>
        <v>4592.465878</v>
      </c>
      <c r="AL76" s="867"/>
      <c r="AM76" s="867"/>
      <c r="AN76" s="146">
        <f t="shared" si="2"/>
        <v>4592.465878</v>
      </c>
      <c r="AO76" s="871"/>
      <c r="AP76" s="871"/>
      <c r="AQ76" s="879"/>
      <c r="AR76" s="1433">
        <f>0.00214+$AU$126</f>
        <v>9.2747499999999997E-2</v>
      </c>
      <c r="AS76" s="1434">
        <f>0.00214+$AU$126</f>
        <v>9.2747499999999997E-2</v>
      </c>
      <c r="AT76" s="1434">
        <f>0.00214+$AU$126</f>
        <v>9.2747499999999997E-2</v>
      </c>
      <c r="AU76" s="282">
        <v>4.4900000000000002E-2</v>
      </c>
      <c r="AV76" s="282"/>
      <c r="AW76" s="282"/>
      <c r="AX76" s="282"/>
      <c r="AY76" s="282"/>
      <c r="AZ76" s="873">
        <f t="shared" ref="AZ76:AZ77" si="67">100%-BA76</f>
        <v>1</v>
      </c>
      <c r="BA76" s="873">
        <v>0</v>
      </c>
      <c r="BB76" s="873">
        <f t="shared" ref="BB76:BB77" si="68">100%-BC76</f>
        <v>1</v>
      </c>
      <c r="BC76" s="873">
        <v>0</v>
      </c>
      <c r="BD76" s="1423"/>
      <c r="BE76" s="283">
        <v>0.49</v>
      </c>
      <c r="BF76" s="283"/>
      <c r="BG76" s="282"/>
      <c r="BH76" s="282"/>
      <c r="BI76" s="283"/>
      <c r="BJ76" s="281">
        <v>8.3999999999999995E-3</v>
      </c>
      <c r="BK76" s="307">
        <v>2.0999999999999999E-3</v>
      </c>
      <c r="BL76" s="289">
        <f t="shared" si="14"/>
        <v>797.96233866100511</v>
      </c>
      <c r="BM76" s="874">
        <f t="shared" si="65"/>
        <v>797.96233866100511</v>
      </c>
      <c r="BN76" s="874" t="str">
        <f t="shared" si="66"/>
        <v>-</v>
      </c>
      <c r="BO76" s="875"/>
    </row>
    <row r="77" spans="1:68">
      <c r="A77" s="309">
        <v>72</v>
      </c>
      <c r="B77" s="1426" t="s">
        <v>460</v>
      </c>
      <c r="C77" s="1427" t="s">
        <v>1080</v>
      </c>
      <c r="D77" s="856" t="s">
        <v>773</v>
      </c>
      <c r="E77" s="308" t="s">
        <v>529</v>
      </c>
      <c r="F77" s="255" t="s">
        <v>462</v>
      </c>
      <c r="G77" s="479" t="s">
        <v>559</v>
      </c>
      <c r="H77" s="923">
        <v>32</v>
      </c>
      <c r="I77" s="912"/>
      <c r="J77" s="913">
        <v>40697.050000000003</v>
      </c>
      <c r="K77" s="913">
        <v>28766.71</v>
      </c>
      <c r="L77" s="146">
        <f t="shared" si="0"/>
        <v>69463.760000000009</v>
      </c>
      <c r="M77" s="877"/>
      <c r="N77" s="871"/>
      <c r="O77" s="878"/>
      <c r="P77" s="866"/>
      <c r="Q77" s="913">
        <v>26845.02</v>
      </c>
      <c r="R77" s="913">
        <v>12649.48</v>
      </c>
      <c r="S77" s="146">
        <f t="shared" si="1"/>
        <v>39494.5</v>
      </c>
      <c r="T77" s="877"/>
      <c r="U77" s="871"/>
      <c r="V77" s="878"/>
      <c r="W77" s="866"/>
      <c r="X77" s="871">
        <f>17848.249+11800.29</f>
        <v>29648.539000000001</v>
      </c>
      <c r="Y77" s="871">
        <f>9421.868+5634.623</f>
        <v>15056.491</v>
      </c>
      <c r="Z77" s="259">
        <f t="shared" si="8"/>
        <v>44705.03</v>
      </c>
      <c r="AA77" s="962"/>
      <c r="AB77" s="871"/>
      <c r="AC77" s="878"/>
      <c r="AD77" s="866"/>
      <c r="AE77" s="871">
        <v>36330.606000000007</v>
      </c>
      <c r="AF77" s="871">
        <v>18681.96</v>
      </c>
      <c r="AG77" s="259">
        <f t="shared" si="44"/>
        <v>55012.566000000006</v>
      </c>
      <c r="AH77" s="962"/>
      <c r="AI77" s="871"/>
      <c r="AJ77" s="878"/>
      <c r="AK77" s="866"/>
      <c r="AL77" s="867">
        <f>AE77+(AE77*$AP$118)</f>
        <v>36366.93660600001</v>
      </c>
      <c r="AM77" s="867">
        <f>AF77+(AF77*$AP$118)</f>
        <v>18700.641960000001</v>
      </c>
      <c r="AN77" s="146">
        <f t="shared" si="2"/>
        <v>55067.578566000011</v>
      </c>
      <c r="AO77" s="871"/>
      <c r="AP77" s="871"/>
      <c r="AQ77" s="879"/>
      <c r="AR77" s="1433">
        <f>0.00214+$AU$126</f>
        <v>9.2747499999999997E-2</v>
      </c>
      <c r="AS77" s="1434">
        <f>0.00214+$AU$126</f>
        <v>9.2747499999999997E-2</v>
      </c>
      <c r="AT77" s="1434">
        <f>0.00214+$AU$126</f>
        <v>9.2747499999999997E-2</v>
      </c>
      <c r="AU77" s="282"/>
      <c r="AV77" s="282">
        <v>5.04E-2</v>
      </c>
      <c r="AW77" s="282">
        <v>4.1300000000000003E-2</v>
      </c>
      <c r="AX77" s="282"/>
      <c r="AY77" s="282"/>
      <c r="AZ77" s="873">
        <f t="shared" si="67"/>
        <v>1</v>
      </c>
      <c r="BA77" s="873">
        <v>0</v>
      </c>
      <c r="BB77" s="873">
        <f t="shared" si="68"/>
        <v>1</v>
      </c>
      <c r="BC77" s="873">
        <v>0</v>
      </c>
      <c r="BD77" s="1423"/>
      <c r="BE77" s="283">
        <v>0.49</v>
      </c>
      <c r="BF77" s="283"/>
      <c r="BG77" s="263"/>
      <c r="BH77" s="263"/>
      <c r="BI77" s="288"/>
      <c r="BJ77" s="281">
        <v>8.3999999999999995E-3</v>
      </c>
      <c r="BK77" s="307">
        <v>2.0999999999999999E-3</v>
      </c>
      <c r="BL77" s="289">
        <f t="shared" si="14"/>
        <v>8478.9799358834862</v>
      </c>
      <c r="BM77" s="874">
        <f t="shared" si="65"/>
        <v>8478.9799358834862</v>
      </c>
      <c r="BN77" s="874" t="str">
        <f t="shared" si="66"/>
        <v>-</v>
      </c>
      <c r="BO77" s="875"/>
    </row>
    <row r="78" spans="1:68">
      <c r="A78" s="309">
        <v>73</v>
      </c>
      <c r="B78" s="1426" t="s">
        <v>436</v>
      </c>
      <c r="C78" s="1427" t="s">
        <v>464</v>
      </c>
      <c r="D78" s="856" t="s">
        <v>773</v>
      </c>
      <c r="E78" s="308" t="s">
        <v>540</v>
      </c>
      <c r="F78" s="255" t="s">
        <v>462</v>
      </c>
      <c r="G78" s="479" t="s">
        <v>560</v>
      </c>
      <c r="H78" s="923">
        <v>16</v>
      </c>
      <c r="I78" s="912"/>
      <c r="J78" s="913">
        <v>1388.35</v>
      </c>
      <c r="K78" s="913">
        <v>1382.88</v>
      </c>
      <c r="L78" s="146">
        <f t="shared" si="0"/>
        <v>2771.23</v>
      </c>
      <c r="M78" s="877"/>
      <c r="N78" s="871"/>
      <c r="O78" s="878"/>
      <c r="P78" s="866"/>
      <c r="Q78" s="913">
        <v>1390.03</v>
      </c>
      <c r="R78" s="913">
        <v>1460.4169999999999</v>
      </c>
      <c r="S78" s="146">
        <f t="shared" si="1"/>
        <v>2850.4470000000001</v>
      </c>
      <c r="T78" s="877"/>
      <c r="U78" s="871"/>
      <c r="V78" s="878"/>
      <c r="W78" s="866">
        <v>4154.0379999999996</v>
      </c>
      <c r="X78" s="871"/>
      <c r="Y78" s="871"/>
      <c r="Z78" s="259">
        <f t="shared" si="8"/>
        <v>4154.0379999999996</v>
      </c>
      <c r="AA78" s="962"/>
      <c r="AB78" s="871"/>
      <c r="AC78" s="878"/>
      <c r="AD78" s="866">
        <v>3793.5709999999995</v>
      </c>
      <c r="AE78" s="871"/>
      <c r="AF78" s="871"/>
      <c r="AG78" s="259">
        <f t="shared" si="44"/>
        <v>3793.5709999999995</v>
      </c>
      <c r="AH78" s="962"/>
      <c r="AI78" s="871"/>
      <c r="AJ78" s="878"/>
      <c r="AK78" s="866">
        <f>AD78+(AD78*$AP$118)</f>
        <v>3797.3645709999996</v>
      </c>
      <c r="AL78" s="867"/>
      <c r="AM78" s="867"/>
      <c r="AN78" s="146">
        <f t="shared" si="2"/>
        <v>3797.3645709999996</v>
      </c>
      <c r="AO78" s="871"/>
      <c r="AP78" s="871"/>
      <c r="AQ78" s="879"/>
      <c r="AR78" s="1433">
        <f>0.00214+$AU$126</f>
        <v>9.2747499999999997E-2</v>
      </c>
      <c r="AS78" s="1434">
        <f>0.00214+$AU$126</f>
        <v>9.2747499999999997E-2</v>
      </c>
      <c r="AT78" s="1434">
        <f>0.00214+$AU$126</f>
        <v>9.2747499999999997E-2</v>
      </c>
      <c r="AU78" s="282">
        <v>4.4900000000000002E-2</v>
      </c>
      <c r="AV78" s="282"/>
      <c r="AW78" s="282"/>
      <c r="AX78" s="282"/>
      <c r="AY78" s="282"/>
      <c r="AZ78" s="873">
        <f t="shared" ref="AZ78:AZ87" si="69">100%-BA78</f>
        <v>1</v>
      </c>
      <c r="BA78" s="873">
        <v>0</v>
      </c>
      <c r="BB78" s="873">
        <f t="shared" ref="BB78:BB87" si="70">100%-BC78</f>
        <v>1</v>
      </c>
      <c r="BC78" s="873">
        <v>0</v>
      </c>
      <c r="BD78" s="1423"/>
      <c r="BE78" s="283">
        <v>0.49</v>
      </c>
      <c r="BF78" s="283"/>
      <c r="BG78" s="282"/>
      <c r="BH78" s="282"/>
      <c r="BI78" s="283"/>
      <c r="BJ78" s="281">
        <v>8.3999999999999995E-3</v>
      </c>
      <c r="BK78" s="307">
        <v>2.0999999999999999E-3</v>
      </c>
      <c r="BL78" s="289">
        <f t="shared" si="14"/>
        <v>656.65006778222244</v>
      </c>
      <c r="BM78" s="874">
        <f t="shared" si="65"/>
        <v>656.65006778222244</v>
      </c>
      <c r="BN78" s="874" t="str">
        <f t="shared" si="66"/>
        <v>-</v>
      </c>
      <c r="BO78" s="875"/>
    </row>
    <row r="79" spans="1:68">
      <c r="A79" s="309">
        <v>74</v>
      </c>
      <c r="B79" s="1426" t="s">
        <v>419</v>
      </c>
      <c r="C79" s="1427" t="s">
        <v>1081</v>
      </c>
      <c r="D79" s="856" t="s">
        <v>773</v>
      </c>
      <c r="E79" s="308" t="s">
        <v>530</v>
      </c>
      <c r="F79" s="255" t="s">
        <v>462</v>
      </c>
      <c r="G79" s="479" t="s">
        <v>560</v>
      </c>
      <c r="H79" s="923">
        <v>13</v>
      </c>
      <c r="I79" s="912"/>
      <c r="J79" s="913">
        <v>535.9</v>
      </c>
      <c r="K79" s="913">
        <v>764.55</v>
      </c>
      <c r="L79" s="146">
        <f t="shared" si="0"/>
        <v>1300.4499999999998</v>
      </c>
      <c r="M79" s="877"/>
      <c r="N79" s="871"/>
      <c r="O79" s="878"/>
      <c r="P79" s="866"/>
      <c r="Q79" s="913">
        <v>523.98</v>
      </c>
      <c r="R79" s="913">
        <v>525.21</v>
      </c>
      <c r="S79" s="146">
        <f t="shared" si="1"/>
        <v>1049.19</v>
      </c>
      <c r="T79" s="877"/>
      <c r="U79" s="871"/>
      <c r="V79" s="878"/>
      <c r="W79" s="866">
        <f>1014.601+259.36</f>
        <v>1273.961</v>
      </c>
      <c r="X79" s="871"/>
      <c r="Y79" s="871"/>
      <c r="Z79" s="259">
        <f t="shared" si="8"/>
        <v>1273.961</v>
      </c>
      <c r="AA79" s="962"/>
      <c r="AB79" s="871"/>
      <c r="AC79" s="878"/>
      <c r="AD79" s="866">
        <v>439.21</v>
      </c>
      <c r="AE79" s="871"/>
      <c r="AF79" s="871"/>
      <c r="AG79" s="259">
        <f t="shared" si="44"/>
        <v>439.21</v>
      </c>
      <c r="AH79" s="962"/>
      <c r="AI79" s="871"/>
      <c r="AJ79" s="878"/>
      <c r="AK79" s="866">
        <f>AD79+(AD79*$AP$118)</f>
        <v>439.64920999999998</v>
      </c>
      <c r="AL79" s="867"/>
      <c r="AM79" s="867"/>
      <c r="AN79" s="146">
        <f t="shared" si="2"/>
        <v>439.64920999999998</v>
      </c>
      <c r="AO79" s="871"/>
      <c r="AP79" s="871"/>
      <c r="AQ79" s="879"/>
      <c r="AR79" s="1433">
        <f>0.00214+$AU$126</f>
        <v>9.2747499999999997E-2</v>
      </c>
      <c r="AS79" s="1434">
        <f>0.00214+$AU$126</f>
        <v>9.2747499999999997E-2</v>
      </c>
      <c r="AT79" s="1434">
        <f>0.00214+$AU$126</f>
        <v>9.2747499999999997E-2</v>
      </c>
      <c r="AU79" s="282">
        <v>4.4900000000000002E-2</v>
      </c>
      <c r="AV79" s="282"/>
      <c r="AW79" s="282"/>
      <c r="AX79" s="282"/>
      <c r="AY79" s="282"/>
      <c r="AZ79" s="873">
        <f t="shared" si="69"/>
        <v>1</v>
      </c>
      <c r="BA79" s="873">
        <v>0</v>
      </c>
      <c r="BB79" s="873">
        <f t="shared" si="70"/>
        <v>1</v>
      </c>
      <c r="BC79" s="873">
        <v>0</v>
      </c>
      <c r="BD79" s="1423"/>
      <c r="BE79" s="283">
        <v>0.49</v>
      </c>
      <c r="BF79" s="283"/>
      <c r="BG79" s="282"/>
      <c r="BH79" s="282"/>
      <c r="BI79" s="283"/>
      <c r="BJ79" s="281">
        <v>8.3999999999999995E-3</v>
      </c>
      <c r="BK79" s="307">
        <v>2.0999999999999999E-3</v>
      </c>
      <c r="BL79" s="289">
        <f t="shared" si="14"/>
        <v>141.572931338475</v>
      </c>
      <c r="BM79" s="874">
        <f t="shared" si="65"/>
        <v>141.572931338475</v>
      </c>
      <c r="BN79" s="874" t="str">
        <f t="shared" si="66"/>
        <v>-</v>
      </c>
      <c r="BO79" s="875"/>
    </row>
    <row r="80" spans="1:68">
      <c r="A80" s="309">
        <v>75</v>
      </c>
      <c r="B80" s="1426" t="s">
        <v>419</v>
      </c>
      <c r="C80" s="1427" t="s">
        <v>877</v>
      </c>
      <c r="D80" s="856" t="s">
        <v>774</v>
      </c>
      <c r="E80" s="308" t="s">
        <v>878</v>
      </c>
      <c r="F80" s="255" t="s">
        <v>462</v>
      </c>
      <c r="G80" s="479" t="s">
        <v>560</v>
      </c>
      <c r="H80" s="923">
        <v>20</v>
      </c>
      <c r="I80" s="912"/>
      <c r="J80" s="920" t="s">
        <v>349</v>
      </c>
      <c r="K80" s="920" t="s">
        <v>349</v>
      </c>
      <c r="L80" s="146">
        <f t="shared" si="0"/>
        <v>0</v>
      </c>
      <c r="M80" s="877"/>
      <c r="N80" s="871"/>
      <c r="O80" s="878"/>
      <c r="P80" s="866"/>
      <c r="Q80" s="913">
        <v>44.49</v>
      </c>
      <c r="R80" s="913">
        <v>45.22</v>
      </c>
      <c r="S80" s="146">
        <f t="shared" si="1"/>
        <v>89.710000000000008</v>
      </c>
      <c r="T80" s="877"/>
      <c r="U80" s="871"/>
      <c r="V80" s="878"/>
      <c r="W80" s="866">
        <f>190.46+46.03</f>
        <v>236.49</v>
      </c>
      <c r="X80" s="871"/>
      <c r="Y80" s="871"/>
      <c r="Z80" s="259">
        <f t="shared" si="8"/>
        <v>236.49</v>
      </c>
      <c r="AA80" s="962"/>
      <c r="AB80" s="871"/>
      <c r="AC80" s="878"/>
      <c r="AD80" s="870">
        <v>1146.713</v>
      </c>
      <c r="AE80" s="871"/>
      <c r="AF80" s="871"/>
      <c r="AG80" s="259">
        <f t="shared" si="44"/>
        <v>1146.713</v>
      </c>
      <c r="AH80" s="962"/>
      <c r="AI80" s="871"/>
      <c r="AJ80" s="878"/>
      <c r="AK80" s="870">
        <f>AD80+(AD80*$AP$119)</f>
        <v>1149.0064259999999</v>
      </c>
      <c r="AL80" s="867"/>
      <c r="AM80" s="867"/>
      <c r="AN80" s="146">
        <f t="shared" si="2"/>
        <v>1149.0064259999999</v>
      </c>
      <c r="AO80" s="871"/>
      <c r="AP80" s="871"/>
      <c r="AQ80" s="879"/>
      <c r="AR80" s="1433">
        <f>0.00214+$AU$126</f>
        <v>9.2747499999999997E-2</v>
      </c>
      <c r="AS80" s="1434">
        <f>0.00214+$AU$126</f>
        <v>9.2747499999999997E-2</v>
      </c>
      <c r="AT80" s="1434">
        <f>0.00214+$AU$126</f>
        <v>9.2747499999999997E-2</v>
      </c>
      <c r="AU80" s="282">
        <v>4.4900000000000002E-2</v>
      </c>
      <c r="AV80" s="282"/>
      <c r="AW80" s="282"/>
      <c r="AX80" s="282"/>
      <c r="AY80" s="282"/>
      <c r="AZ80" s="873">
        <f t="shared" si="69"/>
        <v>1</v>
      </c>
      <c r="BA80" s="873">
        <v>0</v>
      </c>
      <c r="BB80" s="873">
        <f t="shared" si="70"/>
        <v>1</v>
      </c>
      <c r="BC80" s="873">
        <v>0</v>
      </c>
      <c r="BD80" s="1423"/>
      <c r="BE80" s="283">
        <v>0.49</v>
      </c>
      <c r="BF80" s="283"/>
      <c r="BG80" s="282"/>
      <c r="BH80" s="282"/>
      <c r="BI80" s="283"/>
      <c r="BJ80" s="281">
        <v>8.3999999999999995E-3</v>
      </c>
      <c r="BK80" s="307">
        <v>2.0999999999999999E-3</v>
      </c>
      <c r="BL80" s="289">
        <f t="shared" ref="BL80:BL97" si="71">(AK80*AR80)+(AL80*AS80)+(AM80*AT80)+(AN80*AU80)+((AL80*AV80)*AZ80)+((AL80*AX80)*BA80)+((AM80*AW80)*BB80)+((AM80*AY80)*BC80)+(BD80*12)+(H80*BE80*12)+(BF80*12)+(AO80*BG80)+(AP80*BH80)+(AQ80*BI80)+(BJ80*AN80)+(BK80*AN80)</f>
        <v>287.82242949583502</v>
      </c>
      <c r="BM80" s="874" t="str">
        <f t="shared" si="65"/>
        <v>-</v>
      </c>
      <c r="BN80" s="874">
        <f t="shared" si="66"/>
        <v>287.82242949583502</v>
      </c>
      <c r="BO80" s="875"/>
    </row>
    <row r="81" spans="1:70">
      <c r="A81" s="309">
        <v>76</v>
      </c>
      <c r="B81" s="1426" t="s">
        <v>434</v>
      </c>
      <c r="C81" s="1427" t="s">
        <v>670</v>
      </c>
      <c r="D81" s="856" t="s">
        <v>774</v>
      </c>
      <c r="E81" s="308" t="s">
        <v>671</v>
      </c>
      <c r="F81" s="255" t="s">
        <v>462</v>
      </c>
      <c r="G81" s="479" t="s">
        <v>560</v>
      </c>
      <c r="H81" s="923">
        <v>16</v>
      </c>
      <c r="I81" s="912"/>
      <c r="J81" s="921">
        <v>698.66700000000003</v>
      </c>
      <c r="K81" s="921">
        <v>693.66300000000001</v>
      </c>
      <c r="L81" s="146">
        <f t="shared" si="0"/>
        <v>1392.33</v>
      </c>
      <c r="M81" s="877"/>
      <c r="N81" s="871"/>
      <c r="O81" s="878"/>
      <c r="P81" s="866"/>
      <c r="Q81" s="913">
        <v>376.64100000000002</v>
      </c>
      <c r="R81" s="913">
        <v>335.18900000000002</v>
      </c>
      <c r="S81" s="146">
        <f t="shared" si="1"/>
        <v>711.83</v>
      </c>
      <c r="T81" s="877"/>
      <c r="U81" s="871"/>
      <c r="V81" s="878"/>
      <c r="W81" s="866">
        <f>446.528+225.935</f>
        <v>672.46299999999997</v>
      </c>
      <c r="X81" s="871"/>
      <c r="Y81" s="871"/>
      <c r="Z81" s="259">
        <f t="shared" si="8"/>
        <v>672.46299999999997</v>
      </c>
      <c r="AA81" s="962"/>
      <c r="AB81" s="871"/>
      <c r="AC81" s="878"/>
      <c r="AD81" s="870">
        <v>496.23399999999998</v>
      </c>
      <c r="AE81" s="871"/>
      <c r="AF81" s="871"/>
      <c r="AG81" s="259">
        <f t="shared" si="44"/>
        <v>496.23399999999998</v>
      </c>
      <c r="AH81" s="962"/>
      <c r="AI81" s="871"/>
      <c r="AJ81" s="878"/>
      <c r="AK81" s="870">
        <f>AD81+(AD81*$AP$119)</f>
        <v>497.22646799999995</v>
      </c>
      <c r="AL81" s="867"/>
      <c r="AM81" s="867"/>
      <c r="AN81" s="146">
        <f t="shared" si="2"/>
        <v>497.22646799999995</v>
      </c>
      <c r="AO81" s="871"/>
      <c r="AP81" s="871"/>
      <c r="AQ81" s="879"/>
      <c r="AR81" s="1433">
        <f>0.00214+$AU$126</f>
        <v>9.2747499999999997E-2</v>
      </c>
      <c r="AS81" s="1434">
        <f>0.00214+$AU$126</f>
        <v>9.2747499999999997E-2</v>
      </c>
      <c r="AT81" s="1434">
        <f>0.00214+$AU$126</f>
        <v>9.2747499999999997E-2</v>
      </c>
      <c r="AU81" s="282">
        <v>4.4900000000000002E-2</v>
      </c>
      <c r="AV81" s="282"/>
      <c r="AW81" s="282"/>
      <c r="AX81" s="282"/>
      <c r="AY81" s="282"/>
      <c r="AZ81" s="873">
        <f t="shared" si="69"/>
        <v>1</v>
      </c>
      <c r="BA81" s="873">
        <v>0</v>
      </c>
      <c r="BB81" s="873">
        <f t="shared" si="70"/>
        <v>1</v>
      </c>
      <c r="BC81" s="873">
        <v>0</v>
      </c>
      <c r="BD81" s="1423"/>
      <c r="BE81" s="283">
        <v>0.49</v>
      </c>
      <c r="BF81" s="283"/>
      <c r="BG81" s="282"/>
      <c r="BH81" s="282"/>
      <c r="BI81" s="283"/>
      <c r="BJ81" s="281">
        <v>8.3999999999999995E-3</v>
      </c>
      <c r="BK81" s="307">
        <v>2.0999999999999999E-3</v>
      </c>
      <c r="BL81" s="289">
        <f t="shared" si="71"/>
        <v>167.74285816802998</v>
      </c>
      <c r="BM81" s="874" t="str">
        <f t="shared" si="65"/>
        <v>-</v>
      </c>
      <c r="BN81" s="874">
        <f t="shared" si="66"/>
        <v>167.74285816802998</v>
      </c>
      <c r="BO81" s="875"/>
    </row>
    <row r="82" spans="1:70">
      <c r="A82" s="309">
        <v>77</v>
      </c>
      <c r="B82" s="1426" t="s">
        <v>434</v>
      </c>
      <c r="C82" s="1427" t="s">
        <v>672</v>
      </c>
      <c r="D82" s="856" t="s">
        <v>774</v>
      </c>
      <c r="E82" s="308" t="s">
        <v>673</v>
      </c>
      <c r="F82" s="255" t="s">
        <v>462</v>
      </c>
      <c r="G82" s="479" t="s">
        <v>560</v>
      </c>
      <c r="H82" s="923">
        <v>20</v>
      </c>
      <c r="I82" s="912"/>
      <c r="J82" s="913">
        <v>983.76700000000005</v>
      </c>
      <c r="K82" s="913">
        <v>1039.163</v>
      </c>
      <c r="L82" s="146">
        <f t="shared" si="0"/>
        <v>2022.93</v>
      </c>
      <c r="M82" s="877"/>
      <c r="N82" s="871"/>
      <c r="O82" s="878"/>
      <c r="P82" s="866"/>
      <c r="Q82" s="913">
        <v>985.88199999999995</v>
      </c>
      <c r="R82" s="913">
        <v>1010.8049999999999</v>
      </c>
      <c r="S82" s="146">
        <f t="shared" si="1"/>
        <v>1996.6869999999999</v>
      </c>
      <c r="T82" s="877"/>
      <c r="U82" s="871"/>
      <c r="V82" s="878"/>
      <c r="W82" s="866">
        <v>700.51300000000003</v>
      </c>
      <c r="X82" s="871"/>
      <c r="Y82" s="871"/>
      <c r="Z82" s="259">
        <f t="shared" si="8"/>
        <v>700.51300000000003</v>
      </c>
      <c r="AA82" s="962"/>
      <c r="AB82" s="871"/>
      <c r="AC82" s="878"/>
      <c r="AD82" s="870">
        <v>236.38399999999999</v>
      </c>
      <c r="AE82" s="871"/>
      <c r="AF82" s="871"/>
      <c r="AG82" s="259">
        <f t="shared" si="44"/>
        <v>236.38399999999999</v>
      </c>
      <c r="AH82" s="962"/>
      <c r="AI82" s="871"/>
      <c r="AJ82" s="878"/>
      <c r="AK82" s="870">
        <f>AD82+(AD82*$AP$119)</f>
        <v>236.85676799999999</v>
      </c>
      <c r="AL82" s="867"/>
      <c r="AM82" s="867"/>
      <c r="AN82" s="146">
        <f t="shared" si="2"/>
        <v>236.85676799999999</v>
      </c>
      <c r="AO82" s="871"/>
      <c r="AP82" s="871"/>
      <c r="AQ82" s="879"/>
      <c r="AR82" s="1433">
        <f>0.00214+$AU$126</f>
        <v>9.2747499999999997E-2</v>
      </c>
      <c r="AS82" s="1434">
        <f>0.00214+$AU$126</f>
        <v>9.2747499999999997E-2</v>
      </c>
      <c r="AT82" s="1434">
        <f>0.00214+$AU$126</f>
        <v>9.2747499999999997E-2</v>
      </c>
      <c r="AU82" s="282">
        <v>4.4900000000000002E-2</v>
      </c>
      <c r="AV82" s="282"/>
      <c r="AW82" s="282"/>
      <c r="AX82" s="282"/>
      <c r="AY82" s="282"/>
      <c r="AZ82" s="873">
        <f t="shared" si="69"/>
        <v>1</v>
      </c>
      <c r="BA82" s="873">
        <v>0</v>
      </c>
      <c r="BB82" s="873">
        <f t="shared" si="70"/>
        <v>1</v>
      </c>
      <c r="BC82" s="873">
        <v>0</v>
      </c>
      <c r="BD82" s="1423"/>
      <c r="BE82" s="283">
        <v>0.49</v>
      </c>
      <c r="BF82" s="283"/>
      <c r="BG82" s="282"/>
      <c r="BH82" s="282"/>
      <c r="BI82" s="283"/>
      <c r="BJ82" s="281">
        <v>8.3999999999999995E-3</v>
      </c>
      <c r="BK82" s="307">
        <v>2.0999999999999999E-3</v>
      </c>
      <c r="BL82" s="289">
        <f t="shared" si="71"/>
        <v>152.68973803727999</v>
      </c>
      <c r="BM82" s="874" t="str">
        <f t="shared" si="65"/>
        <v>-</v>
      </c>
      <c r="BN82" s="874">
        <f t="shared" si="66"/>
        <v>152.68973803727999</v>
      </c>
      <c r="BO82" s="875"/>
    </row>
    <row r="83" spans="1:70">
      <c r="A83" s="309">
        <v>78</v>
      </c>
      <c r="B83" s="1426" t="s">
        <v>434</v>
      </c>
      <c r="C83" s="1427" t="s">
        <v>674</v>
      </c>
      <c r="D83" s="856" t="s">
        <v>774</v>
      </c>
      <c r="E83" s="308" t="s">
        <v>675</v>
      </c>
      <c r="F83" s="255" t="s">
        <v>462</v>
      </c>
      <c r="G83" s="479" t="s">
        <v>560</v>
      </c>
      <c r="H83" s="923">
        <v>16</v>
      </c>
      <c r="I83" s="912"/>
      <c r="J83" s="913">
        <v>113.52500000000001</v>
      </c>
      <c r="K83" s="913">
        <v>103.67700000000001</v>
      </c>
      <c r="L83" s="146">
        <f t="shared" si="0"/>
        <v>217.202</v>
      </c>
      <c r="M83" s="877"/>
      <c r="N83" s="871"/>
      <c r="O83" s="878"/>
      <c r="P83" s="866"/>
      <c r="Q83" s="913">
        <v>98.867999999999995</v>
      </c>
      <c r="R83" s="913">
        <v>101.44</v>
      </c>
      <c r="S83" s="146">
        <f t="shared" si="1"/>
        <v>200.30799999999999</v>
      </c>
      <c r="T83" s="877"/>
      <c r="U83" s="871"/>
      <c r="V83" s="878"/>
      <c r="W83" s="866">
        <v>226.869</v>
      </c>
      <c r="X83" s="871"/>
      <c r="Y83" s="871"/>
      <c r="Z83" s="259">
        <f t="shared" si="8"/>
        <v>226.869</v>
      </c>
      <c r="AA83" s="962"/>
      <c r="AB83" s="871"/>
      <c r="AC83" s="878"/>
      <c r="AD83" s="870">
        <v>257.87299999999999</v>
      </c>
      <c r="AE83" s="871"/>
      <c r="AF83" s="871"/>
      <c r="AG83" s="259">
        <f t="shared" si="44"/>
        <v>257.87299999999999</v>
      </c>
      <c r="AH83" s="962"/>
      <c r="AI83" s="871"/>
      <c r="AJ83" s="878"/>
      <c r="AK83" s="870">
        <f>AD83+(AD83*$AP$119)</f>
        <v>258.38874599999997</v>
      </c>
      <c r="AL83" s="867"/>
      <c r="AM83" s="867"/>
      <c r="AN83" s="146">
        <f t="shared" si="2"/>
        <v>258.38874599999997</v>
      </c>
      <c r="AO83" s="871"/>
      <c r="AP83" s="871"/>
      <c r="AQ83" s="879"/>
      <c r="AR83" s="1433">
        <f>0.00214+$AU$126</f>
        <v>9.2747499999999997E-2</v>
      </c>
      <c r="AS83" s="1434">
        <f>0.00214+$AU$126</f>
        <v>9.2747499999999997E-2</v>
      </c>
      <c r="AT83" s="1434">
        <f>0.00214+$AU$126</f>
        <v>9.2747499999999997E-2</v>
      </c>
      <c r="AU83" s="282">
        <v>4.4900000000000002E-2</v>
      </c>
      <c r="AV83" s="282"/>
      <c r="AW83" s="282"/>
      <c r="AX83" s="282"/>
      <c r="AY83" s="282"/>
      <c r="AZ83" s="873">
        <f t="shared" si="69"/>
        <v>1</v>
      </c>
      <c r="BA83" s="873">
        <v>0</v>
      </c>
      <c r="BB83" s="873">
        <f t="shared" si="70"/>
        <v>1</v>
      </c>
      <c r="BC83" s="873">
        <v>0</v>
      </c>
      <c r="BD83" s="1423"/>
      <c r="BE83" s="283">
        <v>0.49</v>
      </c>
      <c r="BF83" s="283"/>
      <c r="BG83" s="282"/>
      <c r="BH83" s="282"/>
      <c r="BI83" s="283"/>
      <c r="BJ83" s="281">
        <v>8.3999999999999995E-3</v>
      </c>
      <c r="BK83" s="307">
        <v>2.0999999999999999E-3</v>
      </c>
      <c r="BL83" s="289">
        <f t="shared" si="71"/>
        <v>132.35964674803498</v>
      </c>
      <c r="BM83" s="874" t="str">
        <f t="shared" si="65"/>
        <v>-</v>
      </c>
      <c r="BN83" s="874">
        <f t="shared" si="66"/>
        <v>132.35964674803498</v>
      </c>
      <c r="BO83" s="875"/>
    </row>
    <row r="84" spans="1:70">
      <c r="A84" s="309">
        <v>79</v>
      </c>
      <c r="B84" s="1426" t="s">
        <v>434</v>
      </c>
      <c r="C84" s="1427" t="s">
        <v>676</v>
      </c>
      <c r="D84" s="856" t="s">
        <v>774</v>
      </c>
      <c r="E84" s="308" t="s">
        <v>677</v>
      </c>
      <c r="F84" s="255" t="s">
        <v>462</v>
      </c>
      <c r="G84" s="479" t="s">
        <v>560</v>
      </c>
      <c r="H84" s="923">
        <v>16</v>
      </c>
      <c r="I84" s="912"/>
      <c r="J84" s="913">
        <v>215.99600000000001</v>
      </c>
      <c r="K84" s="913">
        <v>211.53399999999999</v>
      </c>
      <c r="L84" s="146">
        <f t="shared" si="0"/>
        <v>427.53</v>
      </c>
      <c r="M84" s="877"/>
      <c r="N84" s="871"/>
      <c r="O84" s="878"/>
      <c r="P84" s="866"/>
      <c r="Q84" s="913">
        <v>203.03700000000001</v>
      </c>
      <c r="R84" s="913">
        <v>202.761</v>
      </c>
      <c r="S84" s="146">
        <f t="shared" si="1"/>
        <v>405.798</v>
      </c>
      <c r="T84" s="877"/>
      <c r="U84" s="871"/>
      <c r="V84" s="878"/>
      <c r="W84" s="866">
        <v>532.68400000000008</v>
      </c>
      <c r="X84" s="871"/>
      <c r="Y84" s="871"/>
      <c r="Z84" s="259">
        <f t="shared" si="8"/>
        <v>532.68400000000008</v>
      </c>
      <c r="AA84" s="962"/>
      <c r="AB84" s="871"/>
      <c r="AC84" s="878"/>
      <c r="AD84" s="870">
        <v>606.91199999999992</v>
      </c>
      <c r="AE84" s="871"/>
      <c r="AF84" s="871"/>
      <c r="AG84" s="259">
        <f t="shared" si="44"/>
        <v>606.91199999999992</v>
      </c>
      <c r="AH84" s="962"/>
      <c r="AI84" s="871"/>
      <c r="AJ84" s="878"/>
      <c r="AK84" s="870">
        <f>AD84+(AD84*$AP$119)</f>
        <v>608.12582399999997</v>
      </c>
      <c r="AL84" s="867"/>
      <c r="AM84" s="867"/>
      <c r="AN84" s="146">
        <f t="shared" si="2"/>
        <v>608.12582399999997</v>
      </c>
      <c r="AO84" s="871"/>
      <c r="AP84" s="871"/>
      <c r="AQ84" s="879"/>
      <c r="AR84" s="1433">
        <f>0.00214+$AU$126</f>
        <v>9.2747499999999997E-2</v>
      </c>
      <c r="AS84" s="1434">
        <f>0.00214+$AU$126</f>
        <v>9.2747499999999997E-2</v>
      </c>
      <c r="AT84" s="1434">
        <f>0.00214+$AU$126</f>
        <v>9.2747499999999997E-2</v>
      </c>
      <c r="AU84" s="282">
        <v>4.4900000000000002E-2</v>
      </c>
      <c r="AV84" s="282"/>
      <c r="AW84" s="282"/>
      <c r="AX84" s="282"/>
      <c r="AY84" s="282"/>
      <c r="AZ84" s="873">
        <f t="shared" si="69"/>
        <v>1</v>
      </c>
      <c r="BA84" s="873">
        <v>0</v>
      </c>
      <c r="BB84" s="873">
        <f t="shared" si="70"/>
        <v>1</v>
      </c>
      <c r="BC84" s="873">
        <v>0</v>
      </c>
      <c r="BD84" s="1423"/>
      <c r="BE84" s="283">
        <v>0.49</v>
      </c>
      <c r="BF84" s="283"/>
      <c r="BG84" s="282"/>
      <c r="BH84" s="282"/>
      <c r="BI84" s="283"/>
      <c r="BJ84" s="281">
        <v>8.3999999999999995E-3</v>
      </c>
      <c r="BK84" s="307">
        <v>2.0999999999999999E-3</v>
      </c>
      <c r="BL84" s="289">
        <f t="shared" si="71"/>
        <v>184.17232051104</v>
      </c>
      <c r="BM84" s="874" t="str">
        <f t="shared" si="65"/>
        <v>-</v>
      </c>
      <c r="BN84" s="874">
        <f t="shared" si="66"/>
        <v>184.17232051104</v>
      </c>
      <c r="BO84" s="875"/>
    </row>
    <row r="85" spans="1:70">
      <c r="A85" s="309">
        <v>80</v>
      </c>
      <c r="B85" s="1426" t="s">
        <v>434</v>
      </c>
      <c r="C85" s="1427" t="s">
        <v>465</v>
      </c>
      <c r="D85" s="856" t="s">
        <v>774</v>
      </c>
      <c r="E85" s="308" t="s">
        <v>518</v>
      </c>
      <c r="F85" s="255" t="s">
        <v>462</v>
      </c>
      <c r="G85" s="479" t="s">
        <v>559</v>
      </c>
      <c r="H85" s="923">
        <v>50</v>
      </c>
      <c r="I85" s="912"/>
      <c r="J85" s="913">
        <v>32585.703000000001</v>
      </c>
      <c r="K85" s="913">
        <v>31938.976999999999</v>
      </c>
      <c r="L85" s="146">
        <f t="shared" si="0"/>
        <v>64524.68</v>
      </c>
      <c r="M85" s="877"/>
      <c r="N85" s="871"/>
      <c r="O85" s="878"/>
      <c r="P85" s="866"/>
      <c r="Q85" s="913">
        <v>29685.974999999999</v>
      </c>
      <c r="R85" s="913">
        <v>31734.325000000001</v>
      </c>
      <c r="S85" s="146">
        <f t="shared" si="1"/>
        <v>61420.3</v>
      </c>
      <c r="T85" s="877"/>
      <c r="U85" s="871"/>
      <c r="V85" s="878"/>
      <c r="W85" s="866"/>
      <c r="X85" s="871">
        <f>9324.884+8641.906</f>
        <v>17966.79</v>
      </c>
      <c r="Y85" s="871">
        <f>9683.226+8906.071</f>
        <v>18589.296999999999</v>
      </c>
      <c r="Z85" s="259">
        <f t="shared" si="8"/>
        <v>36556.087</v>
      </c>
      <c r="AA85" s="962"/>
      <c r="AB85" s="871"/>
      <c r="AC85" s="878"/>
      <c r="AD85" s="866"/>
      <c r="AE85" s="871">
        <v>21587.367999999999</v>
      </c>
      <c r="AF85" s="871">
        <v>22385.262999999999</v>
      </c>
      <c r="AG85" s="259">
        <f t="shared" si="44"/>
        <v>43972.630999999994</v>
      </c>
      <c r="AH85" s="962"/>
      <c r="AI85" s="871"/>
      <c r="AJ85" s="878"/>
      <c r="AK85" s="870"/>
      <c r="AL85" s="867">
        <f>AE85+(AE85*$AP$119)</f>
        <v>21630.542735999999</v>
      </c>
      <c r="AM85" s="867">
        <f>AF85+(AF85*$AP$119)</f>
        <v>22430.033525999999</v>
      </c>
      <c r="AN85" s="146">
        <f t="shared" si="2"/>
        <v>44060.576262000002</v>
      </c>
      <c r="AO85" s="871"/>
      <c r="AP85" s="871"/>
      <c r="AQ85" s="879"/>
      <c r="AR85" s="1433">
        <f>0.00214+$AU$126</f>
        <v>9.2747499999999997E-2</v>
      </c>
      <c r="AS85" s="1434">
        <f>0.00214+$AU$126</f>
        <v>9.2747499999999997E-2</v>
      </c>
      <c r="AT85" s="1434">
        <f>0.00214+$AU$126</f>
        <v>9.2747499999999997E-2</v>
      </c>
      <c r="AU85" s="282"/>
      <c r="AV85" s="282">
        <v>5.04E-2</v>
      </c>
      <c r="AW85" s="282">
        <v>4.1300000000000003E-2</v>
      </c>
      <c r="AX85" s="282"/>
      <c r="AY85" s="282"/>
      <c r="AZ85" s="873">
        <f t="shared" si="69"/>
        <v>1</v>
      </c>
      <c r="BA85" s="873">
        <v>0</v>
      </c>
      <c r="BB85" s="873">
        <f t="shared" si="70"/>
        <v>1</v>
      </c>
      <c r="BC85" s="873">
        <v>0</v>
      </c>
      <c r="BD85" s="1423"/>
      <c r="BE85" s="283">
        <v>0.49</v>
      </c>
      <c r="BF85" s="283"/>
      <c r="BG85" s="263"/>
      <c r="BH85" s="263"/>
      <c r="BI85" s="288"/>
      <c r="BJ85" s="281">
        <v>8.3999999999999995E-3</v>
      </c>
      <c r="BK85" s="307">
        <v>2.0999999999999999E-3</v>
      </c>
      <c r="BL85" s="289">
        <f t="shared" si="71"/>
        <v>6859.6840861290448</v>
      </c>
      <c r="BM85" s="874" t="str">
        <f t="shared" si="65"/>
        <v>-</v>
      </c>
      <c r="BN85" s="874">
        <f t="shared" si="66"/>
        <v>6859.6840861290448</v>
      </c>
      <c r="BO85" s="875"/>
    </row>
    <row r="86" spans="1:70">
      <c r="A86" s="309">
        <v>81</v>
      </c>
      <c r="B86" s="1426" t="s">
        <v>434</v>
      </c>
      <c r="C86" s="1427" t="s">
        <v>551</v>
      </c>
      <c r="D86" s="856" t="s">
        <v>773</v>
      </c>
      <c r="E86" s="308" t="s">
        <v>539</v>
      </c>
      <c r="F86" s="255" t="s">
        <v>462</v>
      </c>
      <c r="G86" s="479" t="s">
        <v>559</v>
      </c>
      <c r="H86" s="923">
        <v>25</v>
      </c>
      <c r="I86" s="912"/>
      <c r="J86" s="913">
        <v>0</v>
      </c>
      <c r="K86" s="913">
        <v>0</v>
      </c>
      <c r="L86" s="146">
        <f t="shared" si="0"/>
        <v>0</v>
      </c>
      <c r="M86" s="877"/>
      <c r="N86" s="871"/>
      <c r="O86" s="878"/>
      <c r="P86" s="866"/>
      <c r="Q86" s="913">
        <v>0</v>
      </c>
      <c r="R86" s="913">
        <v>0</v>
      </c>
      <c r="S86" s="146">
        <f t="shared" si="1"/>
        <v>0</v>
      </c>
      <c r="T86" s="877"/>
      <c r="U86" s="871"/>
      <c r="V86" s="878"/>
      <c r="W86" s="866"/>
      <c r="X86" s="871">
        <v>0</v>
      </c>
      <c r="Y86" s="871">
        <v>0</v>
      </c>
      <c r="Z86" s="259">
        <f t="shared" si="8"/>
        <v>0</v>
      </c>
      <c r="AA86" s="962"/>
      <c r="AB86" s="871"/>
      <c r="AC86" s="878"/>
      <c r="AD86" s="866"/>
      <c r="AE86" s="871">
        <v>0</v>
      </c>
      <c r="AF86" s="871">
        <v>0</v>
      </c>
      <c r="AG86" s="259">
        <f t="shared" si="44"/>
        <v>0</v>
      </c>
      <c r="AH86" s="962"/>
      <c r="AI86" s="871"/>
      <c r="AJ86" s="878"/>
      <c r="AK86" s="866"/>
      <c r="AL86" s="867">
        <f>AE86+(AE86*$AP$118)</f>
        <v>0</v>
      </c>
      <c r="AM86" s="867">
        <f>AF86+(AF86*$AP$118)</f>
        <v>0</v>
      </c>
      <c r="AN86" s="146">
        <f t="shared" si="2"/>
        <v>0</v>
      </c>
      <c r="AO86" s="871"/>
      <c r="AP86" s="871"/>
      <c r="AQ86" s="879"/>
      <c r="AR86" s="1433">
        <f>0.00214+$AU$126</f>
        <v>9.2747499999999997E-2</v>
      </c>
      <c r="AS86" s="1434">
        <f>0.00214+$AU$126</f>
        <v>9.2747499999999997E-2</v>
      </c>
      <c r="AT86" s="1434">
        <f>0.00214+$AU$126</f>
        <v>9.2747499999999997E-2</v>
      </c>
      <c r="AU86" s="282"/>
      <c r="AV86" s="282">
        <v>5.04E-2</v>
      </c>
      <c r="AW86" s="282">
        <v>4.1300000000000003E-2</v>
      </c>
      <c r="AX86" s="282"/>
      <c r="AY86" s="282"/>
      <c r="AZ86" s="873">
        <f t="shared" si="69"/>
        <v>1</v>
      </c>
      <c r="BA86" s="873">
        <v>0</v>
      </c>
      <c r="BB86" s="873">
        <f t="shared" si="70"/>
        <v>1</v>
      </c>
      <c r="BC86" s="873">
        <v>0</v>
      </c>
      <c r="BD86" s="1423"/>
      <c r="BE86" s="283">
        <v>0.49</v>
      </c>
      <c r="BF86" s="283"/>
      <c r="BG86" s="263"/>
      <c r="BH86" s="263"/>
      <c r="BI86" s="288"/>
      <c r="BJ86" s="281">
        <v>8.3999999999999995E-3</v>
      </c>
      <c r="BK86" s="307">
        <v>2.0999999999999999E-3</v>
      </c>
      <c r="BL86" s="289">
        <f t="shared" si="71"/>
        <v>147</v>
      </c>
      <c r="BM86" s="874">
        <f t="shared" si="65"/>
        <v>147</v>
      </c>
      <c r="BN86" s="874" t="str">
        <f t="shared" si="66"/>
        <v>-</v>
      </c>
      <c r="BO86" s="875"/>
    </row>
    <row r="87" spans="1:70">
      <c r="A87" s="309">
        <v>82</v>
      </c>
      <c r="B87" s="1426" t="s">
        <v>434</v>
      </c>
      <c r="C87" s="1427" t="s">
        <v>697</v>
      </c>
      <c r="D87" s="856" t="s">
        <v>774</v>
      </c>
      <c r="E87" s="308" t="s">
        <v>698</v>
      </c>
      <c r="F87" s="255" t="s">
        <v>462</v>
      </c>
      <c r="G87" s="479" t="s">
        <v>560</v>
      </c>
      <c r="H87" s="923">
        <v>16</v>
      </c>
      <c r="I87" s="912"/>
      <c r="J87" s="913">
        <v>411.63</v>
      </c>
      <c r="K87" s="913">
        <v>343.63</v>
      </c>
      <c r="L87" s="146">
        <f t="shared" si="0"/>
        <v>755.26</v>
      </c>
      <c r="M87" s="877"/>
      <c r="N87" s="871"/>
      <c r="O87" s="878"/>
      <c r="P87" s="866"/>
      <c r="Q87" s="913">
        <v>372.60399999999998</v>
      </c>
      <c r="R87" s="913">
        <v>329.65600000000001</v>
      </c>
      <c r="S87" s="146">
        <f t="shared" si="1"/>
        <v>702.26</v>
      </c>
      <c r="T87" s="877"/>
      <c r="U87" s="871"/>
      <c r="V87" s="878"/>
      <c r="W87" s="866">
        <f>354.65+366.68</f>
        <v>721.32999999999993</v>
      </c>
      <c r="X87" s="871"/>
      <c r="Y87" s="871"/>
      <c r="Z87" s="259">
        <f t="shared" si="8"/>
        <v>721.32999999999993</v>
      </c>
      <c r="AA87" s="962"/>
      <c r="AB87" s="871"/>
      <c r="AC87" s="878"/>
      <c r="AD87" s="870">
        <v>706.09100000000001</v>
      </c>
      <c r="AE87" s="871"/>
      <c r="AF87" s="871"/>
      <c r="AG87" s="259">
        <f t="shared" si="44"/>
        <v>706.09100000000001</v>
      </c>
      <c r="AH87" s="962"/>
      <c r="AI87" s="871"/>
      <c r="AJ87" s="878"/>
      <c r="AK87" s="870">
        <f>AD87+(AD87*$AP$119)</f>
        <v>707.50318200000004</v>
      </c>
      <c r="AL87" s="867"/>
      <c r="AM87" s="867"/>
      <c r="AN87" s="146">
        <f t="shared" si="2"/>
        <v>707.50318200000004</v>
      </c>
      <c r="AO87" s="871"/>
      <c r="AP87" s="871"/>
      <c r="AQ87" s="879"/>
      <c r="AR87" s="1433">
        <f>0.00214+$AU$126</f>
        <v>9.2747499999999997E-2</v>
      </c>
      <c r="AS87" s="1434">
        <f>0.00214+$AU$126</f>
        <v>9.2747499999999997E-2</v>
      </c>
      <c r="AT87" s="1434">
        <f>0.00214+$AU$126</f>
        <v>9.2747499999999997E-2</v>
      </c>
      <c r="AU87" s="282">
        <v>4.4900000000000002E-2</v>
      </c>
      <c r="AV87" s="282"/>
      <c r="AW87" s="282"/>
      <c r="AX87" s="282"/>
      <c r="AY87" s="282"/>
      <c r="AZ87" s="873">
        <f t="shared" si="69"/>
        <v>1</v>
      </c>
      <c r="BA87" s="873">
        <v>0</v>
      </c>
      <c r="BB87" s="873">
        <f t="shared" si="70"/>
        <v>1</v>
      </c>
      <c r="BC87" s="873">
        <v>0</v>
      </c>
      <c r="BD87" s="1423"/>
      <c r="BE87" s="283">
        <v>0.49</v>
      </c>
      <c r="BF87" s="283"/>
      <c r="BG87" s="282"/>
      <c r="BH87" s="282"/>
      <c r="BI87" s="283"/>
      <c r="BJ87" s="281">
        <v>8.3999999999999995E-3</v>
      </c>
      <c r="BK87" s="307">
        <v>2.0999999999999999E-3</v>
      </c>
      <c r="BL87" s="289">
        <f t="shared" si="71"/>
        <v>198.89482765534501</v>
      </c>
      <c r="BM87" s="874" t="str">
        <f t="shared" si="65"/>
        <v>-</v>
      </c>
      <c r="BN87" s="874">
        <f t="shared" si="66"/>
        <v>198.89482765534501</v>
      </c>
      <c r="BO87" s="875"/>
    </row>
    <row r="88" spans="1:70">
      <c r="A88" s="309">
        <v>83</v>
      </c>
      <c r="B88" s="1426" t="s">
        <v>434</v>
      </c>
      <c r="C88" s="1427" t="s">
        <v>537</v>
      </c>
      <c r="D88" s="856" t="s">
        <v>774</v>
      </c>
      <c r="E88" s="308" t="s">
        <v>538</v>
      </c>
      <c r="F88" s="255" t="s">
        <v>462</v>
      </c>
      <c r="G88" s="479" t="s">
        <v>560</v>
      </c>
      <c r="H88" s="923">
        <v>16</v>
      </c>
      <c r="I88" s="912"/>
      <c r="J88" s="913">
        <v>149.22300000000001</v>
      </c>
      <c r="K88" s="913">
        <v>131.87700000000001</v>
      </c>
      <c r="L88" s="146">
        <f t="shared" si="0"/>
        <v>281.10000000000002</v>
      </c>
      <c r="M88" s="877"/>
      <c r="N88" s="871"/>
      <c r="O88" s="878"/>
      <c r="P88" s="866"/>
      <c r="Q88" s="913">
        <v>273.89499999999998</v>
      </c>
      <c r="R88" s="913">
        <v>256.02499999999998</v>
      </c>
      <c r="S88" s="146">
        <f t="shared" si="1"/>
        <v>529.91999999999996</v>
      </c>
      <c r="T88" s="877"/>
      <c r="U88" s="871"/>
      <c r="V88" s="878"/>
      <c r="W88" s="866">
        <f>217.874+298.756</f>
        <v>516.63</v>
      </c>
      <c r="X88" s="871"/>
      <c r="Y88" s="871"/>
      <c r="Z88" s="259">
        <f t="shared" si="8"/>
        <v>516.63</v>
      </c>
      <c r="AA88" s="962"/>
      <c r="AB88" s="871"/>
      <c r="AC88" s="878"/>
      <c r="AD88" s="870">
        <v>562.91700000000003</v>
      </c>
      <c r="AE88" s="871"/>
      <c r="AF88" s="871"/>
      <c r="AG88" s="259">
        <f t="shared" si="44"/>
        <v>562.91700000000003</v>
      </c>
      <c r="AH88" s="962"/>
      <c r="AI88" s="871"/>
      <c r="AJ88" s="878"/>
      <c r="AK88" s="870">
        <f>AD88+(AD88*$AP$119)</f>
        <v>564.04283400000008</v>
      </c>
      <c r="AL88" s="867"/>
      <c r="AM88" s="867"/>
      <c r="AN88" s="146">
        <f t="shared" si="2"/>
        <v>564.04283400000008</v>
      </c>
      <c r="AO88" s="871"/>
      <c r="AP88" s="871"/>
      <c r="AQ88" s="879"/>
      <c r="AR88" s="1433">
        <f>0.00214+$AU$126</f>
        <v>9.2747499999999997E-2</v>
      </c>
      <c r="AS88" s="1434">
        <f>0.00214+$AU$126</f>
        <v>9.2747499999999997E-2</v>
      </c>
      <c r="AT88" s="1434">
        <f>0.00214+$AU$126</f>
        <v>9.2747499999999997E-2</v>
      </c>
      <c r="AU88" s="282">
        <v>4.4900000000000002E-2</v>
      </c>
      <c r="AV88" s="282"/>
      <c r="AW88" s="282"/>
      <c r="AX88" s="282"/>
      <c r="AY88" s="282"/>
      <c r="AZ88" s="873">
        <f t="shared" ref="AZ88:AZ92" si="72">100%-BA88</f>
        <v>1</v>
      </c>
      <c r="BA88" s="873">
        <v>0</v>
      </c>
      <c r="BB88" s="873">
        <f t="shared" ref="BB88:BB92" si="73">100%-BC88</f>
        <v>1</v>
      </c>
      <c r="BC88" s="873">
        <v>0</v>
      </c>
      <c r="BD88" s="1423"/>
      <c r="BE88" s="283">
        <v>0.49</v>
      </c>
      <c r="BF88" s="283"/>
      <c r="BG88" s="282"/>
      <c r="BH88" s="282"/>
      <c r="BI88" s="283"/>
      <c r="BJ88" s="281">
        <v>8.3999999999999995E-3</v>
      </c>
      <c r="BK88" s="307">
        <v>2.0999999999999999E-3</v>
      </c>
      <c r="BL88" s="289">
        <f t="shared" si="71"/>
        <v>177.64153575001504</v>
      </c>
      <c r="BM88" s="874" t="str">
        <f t="shared" si="65"/>
        <v>-</v>
      </c>
      <c r="BN88" s="874">
        <f t="shared" si="66"/>
        <v>177.64153575001504</v>
      </c>
      <c r="BO88" s="875"/>
    </row>
    <row r="89" spans="1:70">
      <c r="A89" s="309">
        <v>84</v>
      </c>
      <c r="B89" s="1426" t="s">
        <v>460</v>
      </c>
      <c r="C89" s="1429" t="s">
        <v>550</v>
      </c>
      <c r="D89" s="856" t="s">
        <v>774</v>
      </c>
      <c r="E89" s="308" t="s">
        <v>534</v>
      </c>
      <c r="F89" s="255" t="s">
        <v>462</v>
      </c>
      <c r="G89" s="479" t="s">
        <v>560</v>
      </c>
      <c r="H89" s="923">
        <v>16</v>
      </c>
      <c r="I89" s="912"/>
      <c r="J89" s="913">
        <v>0</v>
      </c>
      <c r="K89" s="913">
        <v>0</v>
      </c>
      <c r="L89" s="146">
        <f t="shared" si="0"/>
        <v>0</v>
      </c>
      <c r="M89" s="877"/>
      <c r="N89" s="871"/>
      <c r="O89" s="878"/>
      <c r="P89" s="866"/>
      <c r="Q89" s="913">
        <v>0</v>
      </c>
      <c r="R89" s="913">
        <v>0</v>
      </c>
      <c r="S89" s="146">
        <f t="shared" si="1"/>
        <v>0</v>
      </c>
      <c r="T89" s="877"/>
      <c r="U89" s="871"/>
      <c r="V89" s="878"/>
      <c r="W89" s="866">
        <v>321.50900000000001</v>
      </c>
      <c r="X89" s="871"/>
      <c r="Y89" s="871"/>
      <c r="Z89" s="259">
        <f t="shared" si="8"/>
        <v>321.50900000000001</v>
      </c>
      <c r="AA89" s="962"/>
      <c r="AB89" s="871"/>
      <c r="AC89" s="878"/>
      <c r="AD89" s="870">
        <v>815.59299999999996</v>
      </c>
      <c r="AE89" s="871"/>
      <c r="AF89" s="871"/>
      <c r="AG89" s="259">
        <f t="shared" si="44"/>
        <v>815.59299999999996</v>
      </c>
      <c r="AH89" s="962"/>
      <c r="AI89" s="871"/>
      <c r="AJ89" s="878"/>
      <c r="AK89" s="870">
        <f>AD89+(AD89*$AP$119)</f>
        <v>817.22418599999992</v>
      </c>
      <c r="AL89" s="867"/>
      <c r="AM89" s="867"/>
      <c r="AN89" s="146">
        <f t="shared" si="2"/>
        <v>817.22418599999992</v>
      </c>
      <c r="AO89" s="871"/>
      <c r="AP89" s="871"/>
      <c r="AQ89" s="879"/>
      <c r="AR89" s="1433">
        <f>0.00214+$AU$126</f>
        <v>9.2747499999999997E-2</v>
      </c>
      <c r="AS89" s="1434">
        <f>0.00214+$AU$126</f>
        <v>9.2747499999999997E-2</v>
      </c>
      <c r="AT89" s="1434">
        <f>0.00214+$AU$126</f>
        <v>9.2747499999999997E-2</v>
      </c>
      <c r="AU89" s="282">
        <v>4.4900000000000002E-2</v>
      </c>
      <c r="AV89" s="282"/>
      <c r="AW89" s="282"/>
      <c r="AX89" s="282"/>
      <c r="AY89" s="282"/>
      <c r="AZ89" s="873">
        <f t="shared" si="72"/>
        <v>1</v>
      </c>
      <c r="BA89" s="873">
        <v>0</v>
      </c>
      <c r="BB89" s="873">
        <f t="shared" si="73"/>
        <v>1</v>
      </c>
      <c r="BC89" s="873">
        <v>0</v>
      </c>
      <c r="BD89" s="1423"/>
      <c r="BE89" s="283">
        <v>0.49</v>
      </c>
      <c r="BF89" s="283"/>
      <c r="BG89" s="282"/>
      <c r="BH89" s="282"/>
      <c r="BI89" s="283"/>
      <c r="BJ89" s="281">
        <v>8.3999999999999995E-3</v>
      </c>
      <c r="BK89" s="307">
        <v>2.0999999999999999E-3</v>
      </c>
      <c r="BL89" s="289">
        <f t="shared" si="71"/>
        <v>215.14972009543496</v>
      </c>
      <c r="BM89" s="874" t="str">
        <f t="shared" si="65"/>
        <v>-</v>
      </c>
      <c r="BN89" s="874">
        <f t="shared" si="66"/>
        <v>215.14972009543496</v>
      </c>
      <c r="BO89" s="875"/>
    </row>
    <row r="90" spans="1:70">
      <c r="A90" s="309">
        <v>85</v>
      </c>
      <c r="B90" s="1426" t="s">
        <v>460</v>
      </c>
      <c r="C90" s="1429" t="s">
        <v>650</v>
      </c>
      <c r="D90" s="856" t="s">
        <v>774</v>
      </c>
      <c r="E90" s="308" t="s">
        <v>505</v>
      </c>
      <c r="F90" s="255" t="s">
        <v>462</v>
      </c>
      <c r="G90" s="479" t="s">
        <v>560</v>
      </c>
      <c r="H90" s="923">
        <v>16</v>
      </c>
      <c r="I90" s="912"/>
      <c r="J90" s="913">
        <v>787.43</v>
      </c>
      <c r="K90" s="913">
        <v>722.53599999999994</v>
      </c>
      <c r="L90" s="146">
        <f t="shared" si="0"/>
        <v>1509.9659999999999</v>
      </c>
      <c r="M90" s="877"/>
      <c r="N90" s="871"/>
      <c r="O90" s="878"/>
      <c r="P90" s="866"/>
      <c r="Q90" s="913">
        <v>547.15899999999999</v>
      </c>
      <c r="R90" s="913">
        <v>452.45</v>
      </c>
      <c r="S90" s="146">
        <f t="shared" si="1"/>
        <v>999.60899999999992</v>
      </c>
      <c r="T90" s="877"/>
      <c r="U90" s="871"/>
      <c r="V90" s="878"/>
      <c r="W90" s="866">
        <v>1633.5279999999998</v>
      </c>
      <c r="X90" s="871"/>
      <c r="Y90" s="871"/>
      <c r="Z90" s="259">
        <f t="shared" si="8"/>
        <v>1633.5279999999998</v>
      </c>
      <c r="AA90" s="962"/>
      <c r="AB90" s="871"/>
      <c r="AC90" s="878"/>
      <c r="AD90" s="870">
        <v>1516.875</v>
      </c>
      <c r="AE90" s="871"/>
      <c r="AF90" s="871"/>
      <c r="AG90" s="259">
        <f t="shared" si="44"/>
        <v>1516.875</v>
      </c>
      <c r="AH90" s="962"/>
      <c r="AI90" s="871"/>
      <c r="AJ90" s="878"/>
      <c r="AK90" s="870">
        <f>AD90+(AD90*$AP$119)</f>
        <v>1519.9087500000001</v>
      </c>
      <c r="AL90" s="867"/>
      <c r="AM90" s="867"/>
      <c r="AN90" s="146">
        <f t="shared" si="2"/>
        <v>1519.9087500000001</v>
      </c>
      <c r="AO90" s="871"/>
      <c r="AP90" s="871"/>
      <c r="AQ90" s="879"/>
      <c r="AR90" s="1433">
        <f>0.00214+$AU$126</f>
        <v>9.2747499999999997E-2</v>
      </c>
      <c r="AS90" s="1434">
        <f>0.00214+$AU$126</f>
        <v>9.2747499999999997E-2</v>
      </c>
      <c r="AT90" s="1434">
        <f>0.00214+$AU$126</f>
        <v>9.2747499999999997E-2</v>
      </c>
      <c r="AU90" s="282">
        <v>4.4900000000000002E-2</v>
      </c>
      <c r="AV90" s="282"/>
      <c r="AW90" s="282"/>
      <c r="AX90" s="282"/>
      <c r="AY90" s="282"/>
      <c r="AZ90" s="873">
        <f t="shared" si="72"/>
        <v>1</v>
      </c>
      <c r="BA90" s="873">
        <v>0</v>
      </c>
      <c r="BB90" s="873">
        <f t="shared" si="73"/>
        <v>1</v>
      </c>
      <c r="BC90" s="873">
        <v>0</v>
      </c>
      <c r="BD90" s="1423"/>
      <c r="BE90" s="283">
        <v>0.49</v>
      </c>
      <c r="BF90" s="283"/>
      <c r="BG90" s="282"/>
      <c r="BH90" s="282"/>
      <c r="BI90" s="283"/>
      <c r="BJ90" s="281">
        <v>8.3999999999999995E-3</v>
      </c>
      <c r="BK90" s="307">
        <v>2.0999999999999999E-3</v>
      </c>
      <c r="BL90" s="289">
        <f t="shared" si="71"/>
        <v>319.25068154062495</v>
      </c>
      <c r="BM90" s="874" t="str">
        <f t="shared" si="65"/>
        <v>-</v>
      </c>
      <c r="BN90" s="874">
        <f t="shared" si="66"/>
        <v>319.25068154062495</v>
      </c>
      <c r="BO90" s="875"/>
    </row>
    <row r="91" spans="1:70">
      <c r="A91" s="309">
        <v>86</v>
      </c>
      <c r="B91" s="1426" t="s">
        <v>423</v>
      </c>
      <c r="C91" s="1429" t="s">
        <v>759</v>
      </c>
      <c r="D91" s="856" t="s">
        <v>773</v>
      </c>
      <c r="E91" s="308" t="s">
        <v>506</v>
      </c>
      <c r="F91" s="255" t="s">
        <v>462</v>
      </c>
      <c r="G91" s="479" t="s">
        <v>559</v>
      </c>
      <c r="H91" s="923">
        <v>25</v>
      </c>
      <c r="I91" s="912"/>
      <c r="J91" s="913">
        <v>8560.7360000000008</v>
      </c>
      <c r="K91" s="913">
        <v>8892.4969999999994</v>
      </c>
      <c r="L91" s="146">
        <f t="shared" si="0"/>
        <v>17453.233</v>
      </c>
      <c r="M91" s="877"/>
      <c r="N91" s="871"/>
      <c r="O91" s="878"/>
      <c r="P91" s="866"/>
      <c r="Q91" s="913">
        <v>8240.6370000000006</v>
      </c>
      <c r="R91" s="913">
        <v>8960.6470000000008</v>
      </c>
      <c r="S91" s="146">
        <f t="shared" si="1"/>
        <v>17201.284</v>
      </c>
      <c r="T91" s="877"/>
      <c r="U91" s="871"/>
      <c r="V91" s="878"/>
      <c r="W91" s="866"/>
      <c r="X91" s="871">
        <v>8264.9480000000021</v>
      </c>
      <c r="Y91" s="871">
        <v>9215.2999999999993</v>
      </c>
      <c r="Z91" s="259">
        <f t="shared" si="8"/>
        <v>17480.248</v>
      </c>
      <c r="AA91" s="962"/>
      <c r="AB91" s="871"/>
      <c r="AC91" s="878"/>
      <c r="AD91" s="866"/>
      <c r="AE91" s="871">
        <v>9780.6829999999991</v>
      </c>
      <c r="AF91" s="871">
        <v>10712.682000000003</v>
      </c>
      <c r="AG91" s="259">
        <f t="shared" si="44"/>
        <v>20493.365000000002</v>
      </c>
      <c r="AH91" s="962"/>
      <c r="AI91" s="871"/>
      <c r="AJ91" s="878"/>
      <c r="AK91" s="866"/>
      <c r="AL91" s="867">
        <f>AE91+(AE91*$AP$118)</f>
        <v>9790.4636829999999</v>
      </c>
      <c r="AM91" s="867">
        <f>AF91+(AF91*$AP$118)</f>
        <v>10723.394682000002</v>
      </c>
      <c r="AN91" s="146">
        <f t="shared" si="2"/>
        <v>20513.858365</v>
      </c>
      <c r="AO91" s="871"/>
      <c r="AP91" s="871"/>
      <c r="AQ91" s="879"/>
      <c r="AR91" s="1433">
        <f>0.00214+$AU$126</f>
        <v>9.2747499999999997E-2</v>
      </c>
      <c r="AS91" s="1434">
        <f>0.00214+$AU$126</f>
        <v>9.2747499999999997E-2</v>
      </c>
      <c r="AT91" s="1434">
        <f>0.00214+$AU$126</f>
        <v>9.2747499999999997E-2</v>
      </c>
      <c r="AU91" s="282"/>
      <c r="AV91" s="282">
        <v>5.04E-2</v>
      </c>
      <c r="AW91" s="282">
        <v>4.1300000000000003E-2</v>
      </c>
      <c r="AX91" s="282"/>
      <c r="AY91" s="282"/>
      <c r="AZ91" s="873">
        <f t="shared" si="72"/>
        <v>1</v>
      </c>
      <c r="BA91" s="873">
        <v>0</v>
      </c>
      <c r="BB91" s="873">
        <f t="shared" si="73"/>
        <v>1</v>
      </c>
      <c r="BC91" s="873">
        <v>0</v>
      </c>
      <c r="BD91" s="1423"/>
      <c r="BE91" s="283">
        <v>0.49</v>
      </c>
      <c r="BF91" s="283"/>
      <c r="BG91" s="263"/>
      <c r="BH91" s="263"/>
      <c r="BI91" s="288"/>
      <c r="BJ91" s="281">
        <v>8.3999999999999995E-3</v>
      </c>
      <c r="BK91" s="307">
        <v>2.0999999999999999E-3</v>
      </c>
      <c r="BL91" s="289">
        <f t="shared" si="71"/>
        <v>3201.3201615301373</v>
      </c>
      <c r="BM91" s="874">
        <f t="shared" si="65"/>
        <v>3201.3201615301373</v>
      </c>
      <c r="BN91" s="874" t="str">
        <f t="shared" si="66"/>
        <v>-</v>
      </c>
      <c r="BO91" s="875"/>
    </row>
    <row r="92" spans="1:70">
      <c r="A92" s="309">
        <v>87</v>
      </c>
      <c r="B92" s="1426" t="s">
        <v>460</v>
      </c>
      <c r="C92" s="1429" t="s">
        <v>466</v>
      </c>
      <c r="D92" s="856" t="s">
        <v>774</v>
      </c>
      <c r="E92" s="308" t="s">
        <v>503</v>
      </c>
      <c r="F92" s="255" t="s">
        <v>462</v>
      </c>
      <c r="G92" s="479" t="s">
        <v>559</v>
      </c>
      <c r="H92" s="923">
        <v>16</v>
      </c>
      <c r="I92" s="912"/>
      <c r="J92" s="913">
        <v>75.8</v>
      </c>
      <c r="K92" s="913">
        <v>58.85</v>
      </c>
      <c r="L92" s="146">
        <f t="shared" si="0"/>
        <v>134.65</v>
      </c>
      <c r="M92" s="877"/>
      <c r="N92" s="871"/>
      <c r="O92" s="878"/>
      <c r="P92" s="866"/>
      <c r="Q92" s="913">
        <v>51.95</v>
      </c>
      <c r="R92" s="913">
        <v>44.15</v>
      </c>
      <c r="S92" s="146">
        <f t="shared" si="1"/>
        <v>96.1</v>
      </c>
      <c r="T92" s="877"/>
      <c r="U92" s="871"/>
      <c r="V92" s="878"/>
      <c r="W92" s="866"/>
      <c r="X92" s="871">
        <f>42.45+18.86</f>
        <v>61.31</v>
      </c>
      <c r="Y92" s="871">
        <f>38.01+17.717</f>
        <v>55.726999999999997</v>
      </c>
      <c r="Z92" s="259">
        <f t="shared" si="8"/>
        <v>117.03700000000001</v>
      </c>
      <c r="AA92" s="962"/>
      <c r="AB92" s="871"/>
      <c r="AC92" s="878"/>
      <c r="AD92" s="866"/>
      <c r="AE92" s="871">
        <v>62.718999999999994</v>
      </c>
      <c r="AF92" s="871">
        <v>57.486000000000004</v>
      </c>
      <c r="AG92" s="259">
        <f t="shared" si="44"/>
        <v>120.205</v>
      </c>
      <c r="AH92" s="962"/>
      <c r="AI92" s="871"/>
      <c r="AJ92" s="878"/>
      <c r="AK92" s="866"/>
      <c r="AL92" s="867">
        <f>AE92+(AE92*$AP$119)</f>
        <v>62.844437999999997</v>
      </c>
      <c r="AM92" s="867">
        <f>AF92+(AF92*$AP$119)</f>
        <v>57.600972000000006</v>
      </c>
      <c r="AN92" s="146">
        <f t="shared" si="2"/>
        <v>120.44541000000001</v>
      </c>
      <c r="AO92" s="871"/>
      <c r="AP92" s="871"/>
      <c r="AQ92" s="879"/>
      <c r="AR92" s="1433">
        <f>0.00214+$AU$126</f>
        <v>9.2747499999999997E-2</v>
      </c>
      <c r="AS92" s="1434">
        <f>0.00214+$AU$126</f>
        <v>9.2747499999999997E-2</v>
      </c>
      <c r="AT92" s="1434">
        <f>0.00214+$AU$126</f>
        <v>9.2747499999999997E-2</v>
      </c>
      <c r="AU92" s="282"/>
      <c r="AV92" s="282">
        <v>5.04E-2</v>
      </c>
      <c r="AW92" s="282">
        <v>4.1300000000000003E-2</v>
      </c>
      <c r="AX92" s="282"/>
      <c r="AY92" s="282"/>
      <c r="AZ92" s="873">
        <f t="shared" si="72"/>
        <v>1</v>
      </c>
      <c r="BA92" s="873">
        <v>0</v>
      </c>
      <c r="BB92" s="873">
        <f t="shared" si="73"/>
        <v>1</v>
      </c>
      <c r="BC92" s="873">
        <v>0</v>
      </c>
      <c r="BD92" s="1423"/>
      <c r="BE92" s="283">
        <v>0.49</v>
      </c>
      <c r="BF92" s="283"/>
      <c r="BG92" s="263"/>
      <c r="BH92" s="263"/>
      <c r="BI92" s="288"/>
      <c r="BJ92" s="281">
        <v>8.3999999999999995E-3</v>
      </c>
      <c r="BK92" s="307">
        <v>2.0999999999999999E-3</v>
      </c>
      <c r="BL92" s="289">
        <f t="shared" si="71"/>
        <v>112.06196728777499</v>
      </c>
      <c r="BM92" s="874" t="str">
        <f t="shared" si="65"/>
        <v>-</v>
      </c>
      <c r="BN92" s="874">
        <f t="shared" si="66"/>
        <v>112.06196728777499</v>
      </c>
      <c r="BO92" s="875"/>
    </row>
    <row r="93" spans="1:70">
      <c r="A93" s="309">
        <v>88</v>
      </c>
      <c r="B93" s="1426" t="s">
        <v>460</v>
      </c>
      <c r="C93" s="1429" t="s">
        <v>1090</v>
      </c>
      <c r="D93" s="856" t="s">
        <v>773</v>
      </c>
      <c r="E93" s="308" t="s">
        <v>520</v>
      </c>
      <c r="F93" s="255" t="s">
        <v>462</v>
      </c>
      <c r="G93" s="479" t="s">
        <v>560</v>
      </c>
      <c r="H93" s="923">
        <v>16</v>
      </c>
      <c r="I93" s="912"/>
      <c r="J93" s="913">
        <v>0</v>
      </c>
      <c r="K93" s="913">
        <v>0</v>
      </c>
      <c r="L93" s="146">
        <f t="shared" si="0"/>
        <v>0</v>
      </c>
      <c r="M93" s="877"/>
      <c r="N93" s="871"/>
      <c r="O93" s="878"/>
      <c r="P93" s="866"/>
      <c r="Q93" s="913">
        <v>0</v>
      </c>
      <c r="R93" s="913">
        <v>0</v>
      </c>
      <c r="S93" s="146">
        <f t="shared" si="1"/>
        <v>0</v>
      </c>
      <c r="T93" s="877"/>
      <c r="U93" s="871"/>
      <c r="V93" s="878"/>
      <c r="W93" s="866">
        <f>0+0</f>
        <v>0</v>
      </c>
      <c r="X93" s="871"/>
      <c r="Y93" s="871"/>
      <c r="Z93" s="259">
        <f t="shared" si="8"/>
        <v>0</v>
      </c>
      <c r="AA93" s="962"/>
      <c r="AB93" s="871"/>
      <c r="AC93" s="878"/>
      <c r="AD93" s="866">
        <v>0</v>
      </c>
      <c r="AE93" s="871"/>
      <c r="AF93" s="871"/>
      <c r="AG93" s="259">
        <f t="shared" si="44"/>
        <v>0</v>
      </c>
      <c r="AH93" s="962"/>
      <c r="AI93" s="871"/>
      <c r="AJ93" s="878"/>
      <c r="AK93" s="866">
        <f>AD93+(AD93*$AP$118)</f>
        <v>0</v>
      </c>
      <c r="AL93" s="867"/>
      <c r="AM93" s="867"/>
      <c r="AN93" s="146">
        <f t="shared" si="2"/>
        <v>0</v>
      </c>
      <c r="AO93" s="871"/>
      <c r="AP93" s="871"/>
      <c r="AQ93" s="879"/>
      <c r="AR93" s="1433">
        <f>0.00214+$AU$126</f>
        <v>9.2747499999999997E-2</v>
      </c>
      <c r="AS93" s="1434">
        <f>0.00214+$AU$126</f>
        <v>9.2747499999999997E-2</v>
      </c>
      <c r="AT93" s="1434">
        <f>0.00214+$AU$126</f>
        <v>9.2747499999999997E-2</v>
      </c>
      <c r="AU93" s="282">
        <v>4.4900000000000002E-2</v>
      </c>
      <c r="AV93" s="282"/>
      <c r="AW93" s="282"/>
      <c r="AX93" s="282"/>
      <c r="AY93" s="282"/>
      <c r="AZ93" s="873">
        <f t="shared" ref="AZ93:AZ97" si="74">100%-BA93</f>
        <v>1</v>
      </c>
      <c r="BA93" s="873">
        <v>0</v>
      </c>
      <c r="BB93" s="873">
        <f t="shared" ref="BB93:BB97" si="75">100%-BC93</f>
        <v>1</v>
      </c>
      <c r="BC93" s="873">
        <v>0</v>
      </c>
      <c r="BD93" s="1423"/>
      <c r="BE93" s="283">
        <v>0.49</v>
      </c>
      <c r="BF93" s="283"/>
      <c r="BG93" s="282"/>
      <c r="BH93" s="282"/>
      <c r="BI93" s="283"/>
      <c r="BJ93" s="281">
        <v>8.3999999999999995E-3</v>
      </c>
      <c r="BK93" s="307">
        <v>2.0999999999999999E-3</v>
      </c>
      <c r="BL93" s="289">
        <f t="shared" si="71"/>
        <v>94.08</v>
      </c>
      <c r="BM93" s="874">
        <f t="shared" si="65"/>
        <v>94.08</v>
      </c>
      <c r="BN93" s="874" t="str">
        <f t="shared" si="66"/>
        <v>-</v>
      </c>
      <c r="BO93" s="875"/>
    </row>
    <row r="94" spans="1:70">
      <c r="A94" s="309">
        <v>89</v>
      </c>
      <c r="B94" s="1426" t="s">
        <v>434</v>
      </c>
      <c r="C94" s="1429" t="s">
        <v>547</v>
      </c>
      <c r="D94" s="856" t="s">
        <v>773</v>
      </c>
      <c r="E94" s="308" t="s">
        <v>517</v>
      </c>
      <c r="F94" s="255" t="s">
        <v>462</v>
      </c>
      <c r="G94" s="479" t="s">
        <v>559</v>
      </c>
      <c r="H94" s="923">
        <v>50</v>
      </c>
      <c r="I94" s="912"/>
      <c r="J94" s="913">
        <v>17668.805</v>
      </c>
      <c r="K94" s="913">
        <v>15042.605</v>
      </c>
      <c r="L94" s="146">
        <f t="shared" si="0"/>
        <v>32711.41</v>
      </c>
      <c r="M94" s="877"/>
      <c r="N94" s="871"/>
      <c r="O94" s="878"/>
      <c r="P94" s="866"/>
      <c r="Q94" s="913">
        <v>17502.572</v>
      </c>
      <c r="R94" s="913">
        <v>15409.487999999999</v>
      </c>
      <c r="S94" s="146">
        <f t="shared" si="1"/>
        <v>32912.06</v>
      </c>
      <c r="T94" s="877"/>
      <c r="U94" s="871"/>
      <c r="V94" s="878"/>
      <c r="W94" s="866"/>
      <c r="X94" s="871">
        <f>11869.401+8231.42</f>
        <v>20100.821</v>
      </c>
      <c r="Y94" s="871">
        <f>10733.581+7380.61</f>
        <v>18114.190999999999</v>
      </c>
      <c r="Z94" s="259">
        <f t="shared" si="8"/>
        <v>38215.012000000002</v>
      </c>
      <c r="AA94" s="962"/>
      <c r="AB94" s="871"/>
      <c r="AC94" s="878"/>
      <c r="AD94" s="866"/>
      <c r="AE94" s="871">
        <v>15906.314999999999</v>
      </c>
      <c r="AF94" s="871">
        <v>13811.796</v>
      </c>
      <c r="AG94" s="259">
        <f t="shared" si="44"/>
        <v>29718.110999999997</v>
      </c>
      <c r="AH94" s="962"/>
      <c r="AI94" s="871"/>
      <c r="AJ94" s="878"/>
      <c r="AK94" s="866"/>
      <c r="AL94" s="867">
        <f>AE94+(AE94*$AP$118)</f>
        <v>15922.221314999999</v>
      </c>
      <c r="AM94" s="867">
        <f>AF94+(AF94*$AP$118)</f>
        <v>13825.607796</v>
      </c>
      <c r="AN94" s="146">
        <f t="shared" si="2"/>
        <v>29747.829110999999</v>
      </c>
      <c r="AO94" s="877"/>
      <c r="AP94" s="877"/>
      <c r="AQ94" s="879"/>
      <c r="AR94" s="1433">
        <f>0.00214+$AU$126</f>
        <v>9.2747499999999997E-2</v>
      </c>
      <c r="AS94" s="1434">
        <f>0.00214+$AU$126</f>
        <v>9.2747499999999997E-2</v>
      </c>
      <c r="AT94" s="1434">
        <f>0.00214+$AU$126</f>
        <v>9.2747499999999997E-2</v>
      </c>
      <c r="AU94" s="282"/>
      <c r="AV94" s="282">
        <v>5.04E-2</v>
      </c>
      <c r="AW94" s="282">
        <v>4.1300000000000003E-2</v>
      </c>
      <c r="AX94" s="282"/>
      <c r="AY94" s="282"/>
      <c r="AZ94" s="873">
        <f t="shared" si="74"/>
        <v>1</v>
      </c>
      <c r="BA94" s="873">
        <v>0</v>
      </c>
      <c r="BB94" s="873">
        <f t="shared" si="75"/>
        <v>1</v>
      </c>
      <c r="BC94" s="873">
        <v>0</v>
      </c>
      <c r="BD94" s="1423"/>
      <c r="BE94" s="283">
        <v>0.49</v>
      </c>
      <c r="BF94" s="283"/>
      <c r="BG94" s="263"/>
      <c r="BH94" s="263"/>
      <c r="BI94" s="288"/>
      <c r="BJ94" s="281">
        <v>8.3999999999999995E-3</v>
      </c>
      <c r="BK94" s="307">
        <v>2.0999999999999999E-3</v>
      </c>
      <c r="BL94" s="289">
        <f t="shared" si="71"/>
        <v>4738.8665423887724</v>
      </c>
      <c r="BM94" s="874">
        <f t="shared" si="65"/>
        <v>4738.8665423887724</v>
      </c>
      <c r="BN94" s="874" t="str">
        <f t="shared" si="66"/>
        <v>-</v>
      </c>
      <c r="BO94" s="875"/>
    </row>
    <row r="95" spans="1:70">
      <c r="A95" s="309">
        <v>90</v>
      </c>
      <c r="B95" s="1426" t="s">
        <v>460</v>
      </c>
      <c r="C95" s="1429" t="s">
        <v>525</v>
      </c>
      <c r="D95" s="856" t="s">
        <v>774</v>
      </c>
      <c r="E95" s="308" t="s">
        <v>526</v>
      </c>
      <c r="F95" s="255" t="s">
        <v>462</v>
      </c>
      <c r="G95" s="479" t="s">
        <v>559</v>
      </c>
      <c r="H95" s="923">
        <v>20</v>
      </c>
      <c r="I95" s="912"/>
      <c r="J95" s="913">
        <v>3473.6350000000002</v>
      </c>
      <c r="K95" s="913">
        <v>2448.748</v>
      </c>
      <c r="L95" s="146">
        <f t="shared" si="0"/>
        <v>5922.3829999999998</v>
      </c>
      <c r="M95" s="877"/>
      <c r="N95" s="871"/>
      <c r="O95" s="878"/>
      <c r="P95" s="866"/>
      <c r="Q95" s="913">
        <v>3827.54</v>
      </c>
      <c r="R95" s="913">
        <v>2205.4589999999998</v>
      </c>
      <c r="S95" s="146">
        <f t="shared" si="1"/>
        <v>6032.9989999999998</v>
      </c>
      <c r="T95" s="877"/>
      <c r="U95" s="871"/>
      <c r="V95" s="878"/>
      <c r="W95" s="866"/>
      <c r="X95" s="871">
        <v>4554.82</v>
      </c>
      <c r="Y95" s="871">
        <v>3274.2570000000001</v>
      </c>
      <c r="Z95" s="259">
        <f t="shared" si="8"/>
        <v>7829.0769999999993</v>
      </c>
      <c r="AA95" s="962"/>
      <c r="AB95" s="871"/>
      <c r="AC95" s="878"/>
      <c r="AD95" s="866"/>
      <c r="AE95" s="871">
        <v>3909.2020000000002</v>
      </c>
      <c r="AF95" s="871">
        <v>2963.7299999999996</v>
      </c>
      <c r="AG95" s="259">
        <f t="shared" si="44"/>
        <v>6872.9319999999998</v>
      </c>
      <c r="AH95" s="962"/>
      <c r="AI95" s="871"/>
      <c r="AJ95" s="878"/>
      <c r="AK95" s="866"/>
      <c r="AL95" s="867">
        <f t="shared" ref="AL95:AM97" si="76">AE95+(AE95*$AP$119)</f>
        <v>3917.0204040000003</v>
      </c>
      <c r="AM95" s="867">
        <f t="shared" si="76"/>
        <v>2969.6574599999994</v>
      </c>
      <c r="AN95" s="146">
        <f t="shared" si="2"/>
        <v>6886.6778639999993</v>
      </c>
      <c r="AO95" s="877"/>
      <c r="AP95" s="877"/>
      <c r="AQ95" s="879"/>
      <c r="AR95" s="1433">
        <f>0.00214+$AU$126</f>
        <v>9.2747499999999997E-2</v>
      </c>
      <c r="AS95" s="1434">
        <f>0.00214+$AU$126</f>
        <v>9.2747499999999997E-2</v>
      </c>
      <c r="AT95" s="1434">
        <f>0.00214+$AU$126</f>
        <v>9.2747499999999997E-2</v>
      </c>
      <c r="AU95" s="282"/>
      <c r="AV95" s="282">
        <v>5.04E-2</v>
      </c>
      <c r="AW95" s="282">
        <v>4.1300000000000003E-2</v>
      </c>
      <c r="AX95" s="282"/>
      <c r="AY95" s="282"/>
      <c r="AZ95" s="873">
        <f t="shared" si="74"/>
        <v>1</v>
      </c>
      <c r="BA95" s="873">
        <v>0</v>
      </c>
      <c r="BB95" s="873">
        <f t="shared" si="75"/>
        <v>1</v>
      </c>
      <c r="BC95" s="873">
        <v>0</v>
      </c>
      <c r="BD95" s="1423"/>
      <c r="BE95" s="283">
        <v>0.49</v>
      </c>
      <c r="BF95" s="283"/>
      <c r="BG95" s="263"/>
      <c r="BH95" s="263"/>
      <c r="BI95" s="288"/>
      <c r="BJ95" s="281">
        <v>8.3999999999999995E-3</v>
      </c>
      <c r="BK95" s="307">
        <v>2.0999999999999999E-3</v>
      </c>
      <c r="BL95" s="289">
        <f t="shared" si="71"/>
        <v>1148.6969542229399</v>
      </c>
      <c r="BM95" s="874" t="str">
        <f t="shared" si="65"/>
        <v>-</v>
      </c>
      <c r="BN95" s="874">
        <f t="shared" si="66"/>
        <v>1148.6969542229399</v>
      </c>
      <c r="BO95" s="875"/>
      <c r="BP95" s="880"/>
    </row>
    <row r="96" spans="1:70">
      <c r="A96" s="309">
        <v>91</v>
      </c>
      <c r="B96" s="1426" t="s">
        <v>437</v>
      </c>
      <c r="C96" s="1429" t="s">
        <v>678</v>
      </c>
      <c r="D96" s="856" t="s">
        <v>774</v>
      </c>
      <c r="E96" s="308" t="s">
        <v>522</v>
      </c>
      <c r="F96" s="255" t="s">
        <v>462</v>
      </c>
      <c r="G96" s="479" t="s">
        <v>559</v>
      </c>
      <c r="H96" s="923">
        <v>25</v>
      </c>
      <c r="I96" s="912"/>
      <c r="J96" s="913">
        <v>345.72699999999998</v>
      </c>
      <c r="K96" s="913">
        <v>347.90199999999999</v>
      </c>
      <c r="L96" s="146">
        <f t="shared" si="0"/>
        <v>693.62899999999991</v>
      </c>
      <c r="M96" s="877"/>
      <c r="N96" s="871"/>
      <c r="O96" s="878"/>
      <c r="P96" s="866"/>
      <c r="Q96" s="913">
        <v>356.59</v>
      </c>
      <c r="R96" s="913">
        <v>365.54399999999998</v>
      </c>
      <c r="S96" s="146">
        <f t="shared" si="1"/>
        <v>722.13400000000001</v>
      </c>
      <c r="T96" s="877"/>
      <c r="U96" s="871"/>
      <c r="V96" s="878"/>
      <c r="W96" s="866"/>
      <c r="X96" s="871">
        <v>344.45</v>
      </c>
      <c r="Y96" s="871">
        <v>345.21100000000001</v>
      </c>
      <c r="Z96" s="259">
        <f t="shared" ref="Z96" si="77">SUM(W96:Y96)</f>
        <v>689.66100000000006</v>
      </c>
      <c r="AA96" s="962"/>
      <c r="AB96" s="871"/>
      <c r="AC96" s="878"/>
      <c r="AD96" s="866"/>
      <c r="AE96" s="871">
        <v>434.86299999999994</v>
      </c>
      <c r="AF96" s="871">
        <v>510.79799999999994</v>
      </c>
      <c r="AG96" s="259">
        <f t="shared" ref="AG96" si="78">SUM(AD96:AF96)</f>
        <v>945.66099999999983</v>
      </c>
      <c r="AH96" s="962"/>
      <c r="AI96" s="871"/>
      <c r="AJ96" s="878"/>
      <c r="AK96" s="866"/>
      <c r="AL96" s="867">
        <f t="shared" si="76"/>
        <v>435.73272599999996</v>
      </c>
      <c r="AM96" s="867">
        <f t="shared" si="76"/>
        <v>511.81959599999993</v>
      </c>
      <c r="AN96" s="146">
        <f t="shared" si="2"/>
        <v>947.55232199999989</v>
      </c>
      <c r="AO96" s="877"/>
      <c r="AP96" s="877"/>
      <c r="AQ96" s="879"/>
      <c r="AR96" s="1433">
        <f>0.00214+$AU$126</f>
        <v>9.2747499999999997E-2</v>
      </c>
      <c r="AS96" s="1434">
        <f>0.00214+$AU$126</f>
        <v>9.2747499999999997E-2</v>
      </c>
      <c r="AT96" s="1434">
        <f>0.00214+$AU$126</f>
        <v>9.2747499999999997E-2</v>
      </c>
      <c r="AU96" s="282"/>
      <c r="AV96" s="282">
        <v>5.04E-2</v>
      </c>
      <c r="AW96" s="282">
        <v>4.1300000000000003E-2</v>
      </c>
      <c r="AX96" s="282"/>
      <c r="AY96" s="282"/>
      <c r="AZ96" s="873">
        <f t="shared" si="74"/>
        <v>1</v>
      </c>
      <c r="BA96" s="873">
        <v>0</v>
      </c>
      <c r="BB96" s="873">
        <f t="shared" si="75"/>
        <v>1</v>
      </c>
      <c r="BC96" s="873">
        <v>0</v>
      </c>
      <c r="BD96" s="1423"/>
      <c r="BE96" s="283">
        <v>0.49</v>
      </c>
      <c r="BF96" s="283"/>
      <c r="BG96" s="263"/>
      <c r="BH96" s="263"/>
      <c r="BI96" s="288"/>
      <c r="BJ96" s="281">
        <v>8.3999999999999995E-3</v>
      </c>
      <c r="BK96" s="307">
        <v>2.0999999999999999E-3</v>
      </c>
      <c r="BL96" s="289">
        <f t="shared" si="71"/>
        <v>287.931487070895</v>
      </c>
      <c r="BM96" s="874" t="str">
        <f t="shared" si="65"/>
        <v>-</v>
      </c>
      <c r="BN96" s="874">
        <f t="shared" si="66"/>
        <v>287.931487070895</v>
      </c>
      <c r="BO96" s="875"/>
      <c r="BP96" s="432"/>
      <c r="BR96" s="881"/>
    </row>
    <row r="97" spans="1:87">
      <c r="A97" s="309">
        <v>92</v>
      </c>
      <c r="B97" s="1426" t="s">
        <v>434</v>
      </c>
      <c r="C97" s="1429" t="s">
        <v>472</v>
      </c>
      <c r="D97" s="856" t="s">
        <v>774</v>
      </c>
      <c r="E97" s="308" t="s">
        <v>543</v>
      </c>
      <c r="F97" s="255" t="s">
        <v>462</v>
      </c>
      <c r="G97" s="479" t="s">
        <v>559</v>
      </c>
      <c r="H97" s="923">
        <v>16</v>
      </c>
      <c r="I97" s="912"/>
      <c r="J97" s="913">
        <v>4.13</v>
      </c>
      <c r="K97" s="913">
        <v>4.54</v>
      </c>
      <c r="L97" s="146">
        <f t="shared" si="0"/>
        <v>8.67</v>
      </c>
      <c r="M97" s="877"/>
      <c r="N97" s="871"/>
      <c r="O97" s="878"/>
      <c r="P97" s="866"/>
      <c r="Q97" s="913">
        <v>271.39999999999998</v>
      </c>
      <c r="R97" s="913">
        <v>135.16</v>
      </c>
      <c r="S97" s="146">
        <f t="shared" si="1"/>
        <v>406.55999999999995</v>
      </c>
      <c r="T97" s="877"/>
      <c r="U97" s="871"/>
      <c r="V97" s="878"/>
      <c r="W97" s="866"/>
      <c r="X97" s="871">
        <f>500.862+473.803</f>
        <v>974.66499999999996</v>
      </c>
      <c r="Y97" s="871">
        <f>465.688+457.9</f>
        <v>923.58799999999997</v>
      </c>
      <c r="Z97" s="259">
        <f t="shared" ref="Z97" si="79">SUM(W97:Y97)</f>
        <v>1898.2529999999999</v>
      </c>
      <c r="AA97" s="962"/>
      <c r="AB97" s="871"/>
      <c r="AC97" s="878"/>
      <c r="AD97" s="866"/>
      <c r="AE97" s="871">
        <v>439.08300000000003</v>
      </c>
      <c r="AF97" s="871">
        <v>438.36400000000003</v>
      </c>
      <c r="AG97" s="259">
        <f t="shared" ref="AG97" si="80">SUM(AD97:AF97)</f>
        <v>877.44700000000012</v>
      </c>
      <c r="AH97" s="962"/>
      <c r="AI97" s="871"/>
      <c r="AJ97" s="878"/>
      <c r="AK97" s="866"/>
      <c r="AL97" s="867">
        <f t="shared" si="76"/>
        <v>439.96116600000005</v>
      </c>
      <c r="AM97" s="867">
        <f t="shared" si="76"/>
        <v>439.24072800000005</v>
      </c>
      <c r="AN97" s="146">
        <f t="shared" si="2"/>
        <v>879.20189400000004</v>
      </c>
      <c r="AO97" s="877"/>
      <c r="AP97" s="877"/>
      <c r="AQ97" s="879"/>
      <c r="AR97" s="1433">
        <f>0.00214+$AU$126</f>
        <v>9.2747499999999997E-2</v>
      </c>
      <c r="AS97" s="1434">
        <f>0.00214+$AU$126</f>
        <v>9.2747499999999997E-2</v>
      </c>
      <c r="AT97" s="1434">
        <f>0.00214+$AU$126</f>
        <v>9.2747499999999997E-2</v>
      </c>
      <c r="AU97" s="282"/>
      <c r="AV97" s="282">
        <v>5.04E-2</v>
      </c>
      <c r="AW97" s="282">
        <v>4.1300000000000003E-2</v>
      </c>
      <c r="AX97" s="282"/>
      <c r="AY97" s="282"/>
      <c r="AZ97" s="873">
        <f t="shared" si="74"/>
        <v>1</v>
      </c>
      <c r="BA97" s="873">
        <v>0</v>
      </c>
      <c r="BB97" s="873">
        <f t="shared" si="75"/>
        <v>1</v>
      </c>
      <c r="BC97" s="873">
        <v>0</v>
      </c>
      <c r="BD97" s="1423"/>
      <c r="BE97" s="283">
        <v>0.49</v>
      </c>
      <c r="BF97" s="283"/>
      <c r="BG97" s="263"/>
      <c r="BH97" s="263"/>
      <c r="BI97" s="288"/>
      <c r="BJ97" s="281">
        <v>8.3999999999999995E-3</v>
      </c>
      <c r="BK97" s="307">
        <v>2.0999999999999999E-3</v>
      </c>
      <c r="BL97" s="289">
        <f t="shared" si="71"/>
        <v>225.17008238356502</v>
      </c>
      <c r="BM97" s="874" t="str">
        <f t="shared" si="65"/>
        <v>-</v>
      </c>
      <c r="BN97" s="874">
        <f t="shared" si="66"/>
        <v>225.17008238356502</v>
      </c>
      <c r="BO97" s="875"/>
    </row>
    <row r="98" spans="1:87">
      <c r="A98" s="309">
        <v>93</v>
      </c>
      <c r="B98" s="1426" t="s">
        <v>461</v>
      </c>
      <c r="C98" s="1429" t="s">
        <v>883</v>
      </c>
      <c r="D98" s="856" t="s">
        <v>774</v>
      </c>
      <c r="E98" s="308" t="s">
        <v>884</v>
      </c>
      <c r="F98" s="255" t="s">
        <v>462</v>
      </c>
      <c r="G98" s="479" t="s">
        <v>560</v>
      </c>
      <c r="H98" s="923">
        <v>16</v>
      </c>
      <c r="I98" s="912"/>
      <c r="J98" s="913">
        <v>25.701000000000001</v>
      </c>
      <c r="K98" s="913">
        <v>18.245999999999999</v>
      </c>
      <c r="L98" s="146">
        <f t="shared" ref="L98:L103" si="81">SUM(I98:K98)</f>
        <v>43.947000000000003</v>
      </c>
      <c r="M98" s="877"/>
      <c r="N98" s="871"/>
      <c r="O98" s="878"/>
      <c r="P98" s="866"/>
      <c r="Q98" s="913">
        <v>66.096000000000004</v>
      </c>
      <c r="R98" s="913">
        <v>54.527000000000001</v>
      </c>
      <c r="S98" s="146">
        <f t="shared" ref="S98:S108" si="82">SUM(P98:R98)</f>
        <v>120.623</v>
      </c>
      <c r="T98" s="877"/>
      <c r="U98" s="871"/>
      <c r="V98" s="878"/>
      <c r="W98" s="866">
        <v>137.29000000000002</v>
      </c>
      <c r="X98" s="871"/>
      <c r="Y98" s="871"/>
      <c r="Z98" s="259">
        <f t="shared" ref="Z98:Z107" si="83">SUM(W98:Y98)</f>
        <v>137.29000000000002</v>
      </c>
      <c r="AA98" s="962"/>
      <c r="AB98" s="871"/>
      <c r="AC98" s="878"/>
      <c r="AD98" s="870">
        <v>149.67000000000002</v>
      </c>
      <c r="AE98" s="871"/>
      <c r="AF98" s="871"/>
      <c r="AG98" s="259">
        <f t="shared" ref="AG98" si="84">SUM(AD98:AF98)</f>
        <v>149.67000000000002</v>
      </c>
      <c r="AH98" s="962"/>
      <c r="AI98" s="871"/>
      <c r="AJ98" s="878"/>
      <c r="AK98" s="870">
        <f>AD98+(AD98*$AP$119)</f>
        <v>149.96934000000002</v>
      </c>
      <c r="AL98" s="867"/>
      <c r="AM98" s="867"/>
      <c r="AN98" s="146">
        <f t="shared" ref="AN98:AN108" si="85">SUM(AK98:AM98)</f>
        <v>149.96934000000002</v>
      </c>
      <c r="AO98" s="871"/>
      <c r="AP98" s="871"/>
      <c r="AQ98" s="879"/>
      <c r="AR98" s="1433">
        <f>0.00214+$AU$126</f>
        <v>9.2747499999999997E-2</v>
      </c>
      <c r="AS98" s="1434">
        <f>0.00214+$AU$126</f>
        <v>9.2747499999999997E-2</v>
      </c>
      <c r="AT98" s="1434">
        <f>0.00214+$AU$126</f>
        <v>9.2747499999999997E-2</v>
      </c>
      <c r="AU98" s="282">
        <v>4.4900000000000002E-2</v>
      </c>
      <c r="AV98" s="282"/>
      <c r="AW98" s="282"/>
      <c r="AX98" s="282"/>
      <c r="AY98" s="282"/>
      <c r="AZ98" s="873">
        <f t="shared" ref="AZ98:AZ103" si="86">100%-BA98</f>
        <v>1</v>
      </c>
      <c r="BA98" s="873">
        <v>0</v>
      </c>
      <c r="BB98" s="873">
        <f t="shared" ref="BB98:BB103" si="87">100%-BC98</f>
        <v>1</v>
      </c>
      <c r="BC98" s="873">
        <v>0</v>
      </c>
      <c r="BD98" s="1423"/>
      <c r="BE98" s="283">
        <v>0.49</v>
      </c>
      <c r="BF98" s="283"/>
      <c r="BG98" s="282"/>
      <c r="BH98" s="282"/>
      <c r="BI98" s="283"/>
      <c r="BJ98" s="281">
        <v>8.3999999999999995E-3</v>
      </c>
      <c r="BK98" s="307">
        <v>2.0999999999999999E-3</v>
      </c>
      <c r="BL98" s="289">
        <f t="shared" ref="BL98:BL108" si="88">(AK98*AR98)+(AL98*AS98)+(AM98*AT98)+(AN98*AU98)+((AL98*AV98)*AZ98)+((AL98*AX98)*BA98)+((AM98*AW98)*BB98)+((AM98*AY98)*BC98)+(BD98*12)+(H98*BE98*12)+(BF98*12)+(AO98*BG98)+(AP98*BH98)+(AQ98*BI98)+(BJ98*AN98)+(BK98*AN98)</f>
        <v>116.29758279765001</v>
      </c>
      <c r="BM98" s="874" t="str">
        <f t="shared" si="65"/>
        <v>-</v>
      </c>
      <c r="BN98" s="874">
        <f t="shared" si="66"/>
        <v>116.29758279765001</v>
      </c>
      <c r="BO98" s="875"/>
    </row>
    <row r="99" spans="1:87">
      <c r="A99" s="309">
        <v>94</v>
      </c>
      <c r="B99" s="1426" t="s">
        <v>460</v>
      </c>
      <c r="C99" s="1429" t="s">
        <v>1089</v>
      </c>
      <c r="D99" s="856" t="s">
        <v>774</v>
      </c>
      <c r="E99" s="308" t="s">
        <v>541</v>
      </c>
      <c r="F99" s="255" t="s">
        <v>462</v>
      </c>
      <c r="G99" s="479" t="s">
        <v>560</v>
      </c>
      <c r="H99" s="923">
        <v>40</v>
      </c>
      <c r="I99" s="912"/>
      <c r="J99" s="913">
        <v>15038.62</v>
      </c>
      <c r="K99" s="913">
        <v>13830.03</v>
      </c>
      <c r="L99" s="146">
        <f t="shared" si="81"/>
        <v>28868.65</v>
      </c>
      <c r="M99" s="877"/>
      <c r="N99" s="871"/>
      <c r="O99" s="878"/>
      <c r="P99" s="866"/>
      <c r="Q99" s="913">
        <v>8650.0689999999995</v>
      </c>
      <c r="R99" s="913">
        <v>7606.5330000000004</v>
      </c>
      <c r="S99" s="146">
        <f t="shared" si="82"/>
        <v>16256.601999999999</v>
      </c>
      <c r="T99" s="877"/>
      <c r="U99" s="871"/>
      <c r="V99" s="878"/>
      <c r="W99" s="866">
        <f>10551.273+2527.348</f>
        <v>13078.620999999999</v>
      </c>
      <c r="X99" s="871"/>
      <c r="Y99" s="871"/>
      <c r="Z99" s="146">
        <f t="shared" ref="Z99:Z103" si="89">SUM(W99:Y99)</f>
        <v>13078.620999999999</v>
      </c>
      <c r="AA99" s="962"/>
      <c r="AB99" s="871"/>
      <c r="AC99" s="878"/>
      <c r="AD99" s="870">
        <v>10940.88</v>
      </c>
      <c r="AE99" s="871"/>
      <c r="AF99" s="871"/>
      <c r="AG99" s="146">
        <f t="shared" ref="AG99:AG103" si="90">SUM(AD99:AF99)</f>
        <v>10940.88</v>
      </c>
      <c r="AH99" s="962"/>
      <c r="AI99" s="871"/>
      <c r="AJ99" s="878"/>
      <c r="AK99" s="870">
        <f>AD99+(AD99*$AP$119)</f>
        <v>10962.761759999999</v>
      </c>
      <c r="AL99" s="867"/>
      <c r="AM99" s="867"/>
      <c r="AN99" s="146">
        <f t="shared" si="85"/>
        <v>10962.761759999999</v>
      </c>
      <c r="AO99" s="877"/>
      <c r="AP99" s="877"/>
      <c r="AQ99" s="879"/>
      <c r="AR99" s="1433">
        <f>0.00214+$AU$126</f>
        <v>9.2747499999999997E-2</v>
      </c>
      <c r="AS99" s="1434">
        <f>0.00214+$AU$126</f>
        <v>9.2747499999999997E-2</v>
      </c>
      <c r="AT99" s="1434">
        <f>0.00214+$AU$126</f>
        <v>9.2747499999999997E-2</v>
      </c>
      <c r="AU99" s="282">
        <v>4.4900000000000002E-2</v>
      </c>
      <c r="AV99" s="282"/>
      <c r="AW99" s="282"/>
      <c r="AX99" s="282"/>
      <c r="AY99" s="282"/>
      <c r="AZ99" s="873">
        <f t="shared" si="86"/>
        <v>1</v>
      </c>
      <c r="BA99" s="873">
        <v>0</v>
      </c>
      <c r="BB99" s="873">
        <f t="shared" si="87"/>
        <v>1</v>
      </c>
      <c r="BC99" s="873">
        <v>0</v>
      </c>
      <c r="BD99" s="1423"/>
      <c r="BE99" s="283">
        <v>0.49</v>
      </c>
      <c r="BF99" s="283"/>
      <c r="BG99" s="282"/>
      <c r="BH99" s="282"/>
      <c r="BI99" s="283"/>
      <c r="BJ99" s="281">
        <v>8.3999999999999995E-3</v>
      </c>
      <c r="BK99" s="307">
        <v>2.0999999999999999E-3</v>
      </c>
      <c r="BL99" s="289">
        <f t="shared" si="88"/>
        <v>1859.3057478395999</v>
      </c>
      <c r="BM99" s="874" t="str">
        <f t="shared" si="65"/>
        <v>-</v>
      </c>
      <c r="BN99" s="874">
        <f t="shared" si="66"/>
        <v>1859.3057478395999</v>
      </c>
      <c r="BO99" s="875"/>
    </row>
    <row r="100" spans="1:87">
      <c r="A100" s="309">
        <v>95</v>
      </c>
      <c r="B100" s="1426" t="s">
        <v>461</v>
      </c>
      <c r="C100" s="1429" t="s">
        <v>1268</v>
      </c>
      <c r="D100" s="856" t="s">
        <v>774</v>
      </c>
      <c r="E100" s="308" t="s">
        <v>1265</v>
      </c>
      <c r="F100" s="255" t="s">
        <v>462</v>
      </c>
      <c r="G100" s="479" t="s">
        <v>559</v>
      </c>
      <c r="H100" s="923">
        <v>16</v>
      </c>
      <c r="I100" s="912"/>
      <c r="J100" s="921" t="s">
        <v>349</v>
      </c>
      <c r="K100" s="921" t="s">
        <v>349</v>
      </c>
      <c r="L100" s="146">
        <f>SUM(I100:K100)</f>
        <v>0</v>
      </c>
      <c r="M100" s="877"/>
      <c r="N100" s="871"/>
      <c r="O100" s="878"/>
      <c r="P100" s="866"/>
      <c r="Q100" s="921" t="s">
        <v>349</v>
      </c>
      <c r="R100" s="921" t="s">
        <v>349</v>
      </c>
      <c r="S100" s="146">
        <f>SUM(P100:R100)</f>
        <v>0</v>
      </c>
      <c r="T100" s="877"/>
      <c r="U100" s="871"/>
      <c r="V100" s="878"/>
      <c r="W100" s="866"/>
      <c r="X100" s="871">
        <v>18.213999999999999</v>
      </c>
      <c r="Y100" s="871">
        <v>11.282</v>
      </c>
      <c r="Z100" s="146">
        <f>SUM(W100:Y100)</f>
        <v>29.495999999999999</v>
      </c>
      <c r="AA100" s="962"/>
      <c r="AB100" s="871"/>
      <c r="AC100" s="878"/>
      <c r="AD100" s="870"/>
      <c r="AE100" s="871">
        <v>49.606000000000009</v>
      </c>
      <c r="AF100" s="871">
        <v>35.126000000000005</v>
      </c>
      <c r="AG100" s="146">
        <f>SUM(AD100:AF100)</f>
        <v>84.732000000000014</v>
      </c>
      <c r="AH100" s="962"/>
      <c r="AI100" s="871"/>
      <c r="AJ100" s="878"/>
      <c r="AK100" s="870"/>
      <c r="AL100" s="867">
        <f t="shared" ref="AL100:AL101" si="91">AE100+(AE100*$AP$119)</f>
        <v>49.70521200000001</v>
      </c>
      <c r="AM100" s="867">
        <f t="shared" ref="AM100:AM101" si="92">AF100+(AF100*$AP$119)</f>
        <v>35.196252000000008</v>
      </c>
      <c r="AN100" s="146">
        <f>SUM(AK100:AM100)</f>
        <v>84.901464000000018</v>
      </c>
      <c r="AO100" s="877"/>
      <c r="AP100" s="877"/>
      <c r="AQ100" s="879"/>
      <c r="AR100" s="1433">
        <f>0.00214+$AU$126</f>
        <v>9.2747499999999997E-2</v>
      </c>
      <c r="AS100" s="1434">
        <f>0.00214+$AU$126</f>
        <v>9.2747499999999997E-2</v>
      </c>
      <c r="AT100" s="1434">
        <f>0.00214+$AU$126</f>
        <v>9.2747499999999997E-2</v>
      </c>
      <c r="AU100" s="282"/>
      <c r="AV100" s="282">
        <v>5.04E-2</v>
      </c>
      <c r="AW100" s="282">
        <v>4.1300000000000003E-2</v>
      </c>
      <c r="AX100" s="282"/>
      <c r="AY100" s="282"/>
      <c r="AZ100" s="873">
        <f t="shared" ref="AZ100:AZ101" si="93">100%-BA100</f>
        <v>1</v>
      </c>
      <c r="BA100" s="873">
        <v>0</v>
      </c>
      <c r="BB100" s="873">
        <f t="shared" ref="BB100:BB101" si="94">100%-BC100</f>
        <v>1</v>
      </c>
      <c r="BC100" s="873">
        <v>0</v>
      </c>
      <c r="BD100" s="1423"/>
      <c r="BE100" s="283">
        <v>0.49</v>
      </c>
      <c r="BF100" s="283"/>
      <c r="BG100" s="282"/>
      <c r="BH100" s="282"/>
      <c r="BI100" s="283"/>
      <c r="BJ100" s="281">
        <v>8.3999999999999995E-3</v>
      </c>
      <c r="BK100" s="307">
        <v>2.0999999999999999E-3</v>
      </c>
      <c r="BL100" s="289">
        <f>(AK100*AR100)+(AL100*AS100)+(AM100*AT100)+(AN100*AU100)+((AL100*AV100)*AZ100)+((AL100*AX100)*BA100)+((AM100*AW100)*BB100)+((AM100*AY100)*BC100)+(BD100*12)+(H100*BE100*12)+(BF100*12)+(AO100*BG100)+(AP100*BH100)+(AQ100*BI100)+(BJ100*AN100)+(BK100*AN100)</f>
        <v>106.80461179674001</v>
      </c>
      <c r="BM100" s="874" t="str">
        <f>IF(D100="V",BL100-BO100,"-")</f>
        <v>-</v>
      </c>
      <c r="BN100" s="874">
        <f>IF(D100="R",BL100-BO100,"-")</f>
        <v>106.80461179674001</v>
      </c>
      <c r="BO100" s="875"/>
    </row>
    <row r="101" spans="1:87">
      <c r="A101" s="309">
        <v>96</v>
      </c>
      <c r="B101" s="1426" t="s">
        <v>461</v>
      </c>
      <c r="C101" s="1429" t="s">
        <v>1267</v>
      </c>
      <c r="D101" s="856" t="s">
        <v>774</v>
      </c>
      <c r="E101" s="308" t="s">
        <v>1266</v>
      </c>
      <c r="F101" s="255" t="s">
        <v>462</v>
      </c>
      <c r="G101" s="479" t="s">
        <v>559</v>
      </c>
      <c r="H101" s="923">
        <v>25</v>
      </c>
      <c r="I101" s="912"/>
      <c r="J101" s="921" t="s">
        <v>349</v>
      </c>
      <c r="K101" s="921" t="s">
        <v>349</v>
      </c>
      <c r="L101" s="146">
        <f>SUM(I101:K101)</f>
        <v>0</v>
      </c>
      <c r="M101" s="877"/>
      <c r="N101" s="871"/>
      <c r="O101" s="878"/>
      <c r="P101" s="866"/>
      <c r="Q101" s="921" t="s">
        <v>349</v>
      </c>
      <c r="R101" s="921" t="s">
        <v>349</v>
      </c>
      <c r="S101" s="146">
        <f>SUM(P101:R101)</f>
        <v>0</v>
      </c>
      <c r="T101" s="877"/>
      <c r="U101" s="871"/>
      <c r="V101" s="878"/>
      <c r="W101" s="866"/>
      <c r="X101" s="871">
        <v>0</v>
      </c>
      <c r="Y101" s="871">
        <v>0</v>
      </c>
      <c r="Z101" s="146">
        <f>SUM(W101:Y101)</f>
        <v>0</v>
      </c>
      <c r="AA101" s="962"/>
      <c r="AB101" s="871"/>
      <c r="AC101" s="878"/>
      <c r="AD101" s="870"/>
      <c r="AE101" s="871">
        <v>265.34399999999999</v>
      </c>
      <c r="AF101" s="871">
        <v>314.048</v>
      </c>
      <c r="AG101" s="146">
        <f>SUM(AD101:AF101)</f>
        <v>579.39200000000005</v>
      </c>
      <c r="AH101" s="962"/>
      <c r="AI101" s="871"/>
      <c r="AJ101" s="878"/>
      <c r="AK101" s="870"/>
      <c r="AL101" s="867">
        <f t="shared" si="91"/>
        <v>265.87468799999999</v>
      </c>
      <c r="AM101" s="867">
        <f t="shared" si="92"/>
        <v>314.67609600000003</v>
      </c>
      <c r="AN101" s="146">
        <f>SUM(AK101:AM101)</f>
        <v>580.55078400000002</v>
      </c>
      <c r="AO101" s="877"/>
      <c r="AP101" s="877"/>
      <c r="AQ101" s="879"/>
      <c r="AR101" s="1433">
        <f>0.00214+$AU$126</f>
        <v>9.2747499999999997E-2</v>
      </c>
      <c r="AS101" s="1434">
        <f>0.00214+$AU$126</f>
        <v>9.2747499999999997E-2</v>
      </c>
      <c r="AT101" s="1434">
        <f>0.00214+$AU$126</f>
        <v>9.2747499999999997E-2</v>
      </c>
      <c r="AU101" s="282"/>
      <c r="AV101" s="282">
        <v>5.04E-2</v>
      </c>
      <c r="AW101" s="282">
        <v>4.1300000000000003E-2</v>
      </c>
      <c r="AX101" s="282"/>
      <c r="AY101" s="282"/>
      <c r="AZ101" s="873">
        <f t="shared" si="93"/>
        <v>1</v>
      </c>
      <c r="BA101" s="873">
        <v>0</v>
      </c>
      <c r="BB101" s="873">
        <f t="shared" si="94"/>
        <v>1</v>
      </c>
      <c r="BC101" s="873">
        <v>0</v>
      </c>
      <c r="BD101" s="1423"/>
      <c r="BE101" s="283">
        <v>0.49</v>
      </c>
      <c r="BF101" s="283"/>
      <c r="BG101" s="282"/>
      <c r="BH101" s="282"/>
      <c r="BI101" s="283"/>
      <c r="BJ101" s="281">
        <v>8.3999999999999995E-3</v>
      </c>
      <c r="BK101" s="307">
        <v>2.0999999999999999E-3</v>
      </c>
      <c r="BL101" s="289">
        <f>(AK101*AR101)+(AL101*AS101)+(AM101*AT101)+(AN101*AU101)+((AL101*AV101)*AZ101)+((AL101*AX101)*BA101)+((AM101*AW101)*BB101)+((AM101*AY101)*BC101)+(BD101*12)+(H101*BE101*12)+(BF101*12)+(AO101*BG101)+(AP101*BH101)+(AQ101*BI101)+(BJ101*AN101)+(BK101*AN101)</f>
        <v>233.33662411104001</v>
      </c>
      <c r="BM101" s="874" t="str">
        <f>IF(D101="V",BL101-BO101,"-")</f>
        <v>-</v>
      </c>
      <c r="BN101" s="874">
        <f>IF(D101="R",BL101-BO101,"-")</f>
        <v>233.33662411104001</v>
      </c>
      <c r="BO101" s="875"/>
    </row>
    <row r="102" spans="1:87">
      <c r="A102" s="309">
        <v>97</v>
      </c>
      <c r="B102" s="1426" t="s">
        <v>460</v>
      </c>
      <c r="C102" s="1429" t="s">
        <v>1078</v>
      </c>
      <c r="D102" s="856" t="s">
        <v>774</v>
      </c>
      <c r="E102" s="308" t="s">
        <v>1079</v>
      </c>
      <c r="F102" s="255" t="s">
        <v>462</v>
      </c>
      <c r="G102" s="479" t="s">
        <v>559</v>
      </c>
      <c r="H102" s="923">
        <v>3.097</v>
      </c>
      <c r="I102" s="912"/>
      <c r="J102" s="921" t="s">
        <v>349</v>
      </c>
      <c r="K102" s="921" t="s">
        <v>349</v>
      </c>
      <c r="L102" s="146">
        <f t="shared" si="81"/>
        <v>0</v>
      </c>
      <c r="M102" s="877"/>
      <c r="N102" s="871"/>
      <c r="O102" s="878"/>
      <c r="P102" s="866"/>
      <c r="Q102" s="921" t="s">
        <v>349</v>
      </c>
      <c r="R102" s="921" t="s">
        <v>349</v>
      </c>
      <c r="S102" s="146">
        <f t="shared" si="82"/>
        <v>0</v>
      </c>
      <c r="T102" s="877"/>
      <c r="U102" s="871"/>
      <c r="V102" s="878"/>
      <c r="W102" s="866"/>
      <c r="X102" s="871">
        <v>117.28</v>
      </c>
      <c r="Y102" s="871">
        <v>147.23400000000001</v>
      </c>
      <c r="Z102" s="146">
        <f t="shared" si="89"/>
        <v>264.51400000000001</v>
      </c>
      <c r="AA102" s="962"/>
      <c r="AB102" s="871"/>
      <c r="AC102" s="878"/>
      <c r="AD102" s="870"/>
      <c r="AE102" s="871">
        <v>739.07900000000006</v>
      </c>
      <c r="AF102" s="871">
        <v>809.18500000000006</v>
      </c>
      <c r="AG102" s="146">
        <f t="shared" si="90"/>
        <v>1548.2640000000001</v>
      </c>
      <c r="AH102" s="962"/>
      <c r="AI102" s="871"/>
      <c r="AJ102" s="878"/>
      <c r="AK102" s="870"/>
      <c r="AL102" s="867">
        <f>AE102+(AE102*$AP$119)</f>
        <v>740.55715800000007</v>
      </c>
      <c r="AM102" s="867">
        <f>AF102+(AF102*$AP$119)</f>
        <v>810.80337000000009</v>
      </c>
      <c r="AN102" s="146">
        <f t="shared" si="85"/>
        <v>1551.3605280000002</v>
      </c>
      <c r="AO102" s="877"/>
      <c r="AP102" s="877"/>
      <c r="AQ102" s="879"/>
      <c r="AR102" s="1433">
        <f>0.00214+$AU$126</f>
        <v>9.2747499999999997E-2</v>
      </c>
      <c r="AS102" s="1434">
        <f>0.00214+$AU$126</f>
        <v>9.2747499999999997E-2</v>
      </c>
      <c r="AT102" s="1434">
        <f>0.00214+$AU$126</f>
        <v>9.2747499999999997E-2</v>
      </c>
      <c r="AU102" s="282"/>
      <c r="AV102" s="282">
        <v>5.04E-2</v>
      </c>
      <c r="AW102" s="282">
        <v>4.1300000000000003E-2</v>
      </c>
      <c r="AX102" s="282"/>
      <c r="AY102" s="282"/>
      <c r="AZ102" s="873">
        <f t="shared" si="86"/>
        <v>1</v>
      </c>
      <c r="BA102" s="873">
        <v>0</v>
      </c>
      <c r="BB102" s="873">
        <f t="shared" si="87"/>
        <v>1</v>
      </c>
      <c r="BC102" s="873">
        <v>0</v>
      </c>
      <c r="BD102" s="1423"/>
      <c r="BE102" s="283">
        <v>0.49</v>
      </c>
      <c r="BF102" s="283"/>
      <c r="BG102" s="282"/>
      <c r="BH102" s="282"/>
      <c r="BI102" s="283"/>
      <c r="BJ102" s="281">
        <v>8.3999999999999995E-3</v>
      </c>
      <c r="BK102" s="307">
        <v>2.0999999999999999E-3</v>
      </c>
      <c r="BL102" s="289">
        <f t="shared" ref="BL102:BL103" si="95">(AK102*AR102)+(AL102*AS102)+(AM102*AT102)+(AN102*AU102)+((AL102*AV102)*AZ102)+((AL102*AX102)*BA102)+((AM102*AW102)*BB102)+((AM102*AY102)*BC102)+(BD102*12)+(H102*BE102*12)+(BF102*12)+(AO102*BG102)+(AP102*BH102)+(AQ102*BI102)+(BJ102*AN102)+(BK102*AN102)</f>
        <v>249.19471605888003</v>
      </c>
      <c r="BM102" s="874" t="str">
        <f t="shared" ref="BM102:BM103" si="96">IF(D102="V",BL102-BO102,"-")</f>
        <v>-</v>
      </c>
      <c r="BN102" s="874">
        <f t="shared" ref="BN102:BN103" si="97">IF(D102="R",BL102-BO102,"-")</f>
        <v>249.19471605888003</v>
      </c>
      <c r="BO102" s="875"/>
    </row>
    <row r="103" spans="1:87">
      <c r="A103" s="309">
        <v>98</v>
      </c>
      <c r="B103" s="1426" t="s">
        <v>460</v>
      </c>
      <c r="C103" s="1429" t="s">
        <v>1086</v>
      </c>
      <c r="D103" s="856" t="s">
        <v>774</v>
      </c>
      <c r="E103" s="308" t="s">
        <v>1087</v>
      </c>
      <c r="F103" s="255" t="s">
        <v>462</v>
      </c>
      <c r="G103" s="479" t="s">
        <v>559</v>
      </c>
      <c r="H103" s="923">
        <v>14.167</v>
      </c>
      <c r="I103" s="912"/>
      <c r="J103" s="921" t="s">
        <v>349</v>
      </c>
      <c r="K103" s="921" t="s">
        <v>349</v>
      </c>
      <c r="L103" s="146">
        <f t="shared" si="81"/>
        <v>0</v>
      </c>
      <c r="M103" s="877"/>
      <c r="N103" s="871"/>
      <c r="O103" s="878"/>
      <c r="P103" s="866"/>
      <c r="Q103" s="921" t="s">
        <v>349</v>
      </c>
      <c r="R103" s="921" t="s">
        <v>349</v>
      </c>
      <c r="S103" s="146">
        <f t="shared" si="82"/>
        <v>0</v>
      </c>
      <c r="T103" s="877"/>
      <c r="U103" s="871"/>
      <c r="V103" s="878"/>
      <c r="W103" s="866"/>
      <c r="X103" s="871">
        <v>108.83600000000001</v>
      </c>
      <c r="Y103" s="871">
        <v>124.999</v>
      </c>
      <c r="Z103" s="146">
        <f t="shared" si="89"/>
        <v>233.83500000000001</v>
      </c>
      <c r="AA103" s="962"/>
      <c r="AB103" s="871"/>
      <c r="AC103" s="878"/>
      <c r="AD103" s="870"/>
      <c r="AE103" s="871">
        <v>262.29199999999997</v>
      </c>
      <c r="AF103" s="871">
        <v>292.57900000000001</v>
      </c>
      <c r="AG103" s="146">
        <f t="shared" si="90"/>
        <v>554.87099999999998</v>
      </c>
      <c r="AH103" s="962"/>
      <c r="AI103" s="871"/>
      <c r="AJ103" s="878"/>
      <c r="AK103" s="870"/>
      <c r="AL103" s="867">
        <f>AE103+(AE103*$AP$119)</f>
        <v>262.81658399999998</v>
      </c>
      <c r="AM103" s="867">
        <f>AF103+(AF103*$AP$119)</f>
        <v>293.16415799999999</v>
      </c>
      <c r="AN103" s="146">
        <f t="shared" si="85"/>
        <v>555.98074199999996</v>
      </c>
      <c r="AO103" s="877"/>
      <c r="AP103" s="877"/>
      <c r="AQ103" s="879"/>
      <c r="AR103" s="1433">
        <f>0.00214+$AU$126</f>
        <v>9.2747499999999997E-2</v>
      </c>
      <c r="AS103" s="1434">
        <f>0.00214+$AU$126</f>
        <v>9.2747499999999997E-2</v>
      </c>
      <c r="AT103" s="1434">
        <f>0.00214+$AU$126</f>
        <v>9.2747499999999997E-2</v>
      </c>
      <c r="AU103" s="282"/>
      <c r="AV103" s="282">
        <v>5.04E-2</v>
      </c>
      <c r="AW103" s="282">
        <v>4.1300000000000003E-2</v>
      </c>
      <c r="AX103" s="282"/>
      <c r="AY103" s="282"/>
      <c r="AZ103" s="873">
        <f t="shared" si="86"/>
        <v>1</v>
      </c>
      <c r="BA103" s="873">
        <v>0</v>
      </c>
      <c r="BB103" s="873">
        <f t="shared" si="87"/>
        <v>1</v>
      </c>
      <c r="BC103" s="873">
        <v>0</v>
      </c>
      <c r="BD103" s="1423"/>
      <c r="BE103" s="283">
        <v>0.49</v>
      </c>
      <c r="BF103" s="283"/>
      <c r="BG103" s="282"/>
      <c r="BH103" s="282"/>
      <c r="BI103" s="283"/>
      <c r="BJ103" s="281">
        <v>8.3999999999999995E-3</v>
      </c>
      <c r="BK103" s="307">
        <v>2.0999999999999999E-3</v>
      </c>
      <c r="BL103" s="289">
        <f t="shared" si="95"/>
        <v>166.05921721864499</v>
      </c>
      <c r="BM103" s="874" t="str">
        <f t="shared" si="96"/>
        <v>-</v>
      </c>
      <c r="BN103" s="874">
        <f t="shared" si="97"/>
        <v>166.05921721864499</v>
      </c>
      <c r="BO103" s="875"/>
    </row>
    <row r="104" spans="1:87">
      <c r="A104" s="309">
        <v>99</v>
      </c>
      <c r="B104" s="1426" t="s">
        <v>434</v>
      </c>
      <c r="C104" s="1429" t="s">
        <v>479</v>
      </c>
      <c r="D104" s="856" t="s">
        <v>774</v>
      </c>
      <c r="E104" s="308" t="s">
        <v>507</v>
      </c>
      <c r="F104" s="255" t="s">
        <v>462</v>
      </c>
      <c r="G104" s="479" t="s">
        <v>560</v>
      </c>
      <c r="H104" s="923">
        <v>16</v>
      </c>
      <c r="I104" s="912"/>
      <c r="J104" s="913">
        <v>2851.8180000000002</v>
      </c>
      <c r="K104" s="913">
        <v>2188.7420000000002</v>
      </c>
      <c r="L104" s="146">
        <f t="shared" ref="L104:L108" si="98">SUM(I104:K104)</f>
        <v>5040.5600000000004</v>
      </c>
      <c r="M104" s="877"/>
      <c r="N104" s="871"/>
      <c r="O104" s="878"/>
      <c r="P104" s="866"/>
      <c r="Q104" s="913">
        <v>2600.9650000000001</v>
      </c>
      <c r="R104" s="913">
        <v>2224.2849999999999</v>
      </c>
      <c r="S104" s="146">
        <f t="shared" ref="S104:S105" si="99">SUM(P104:R104)</f>
        <v>4825.25</v>
      </c>
      <c r="T104" s="877"/>
      <c r="U104" s="871"/>
      <c r="V104" s="878"/>
      <c r="W104" s="866">
        <f>1411.842+1410.228</f>
        <v>2822.07</v>
      </c>
      <c r="X104" s="871"/>
      <c r="Y104" s="871"/>
      <c r="Z104" s="146">
        <f t="shared" si="83"/>
        <v>2822.07</v>
      </c>
      <c r="AA104" s="962"/>
      <c r="AB104" s="871"/>
      <c r="AC104" s="878"/>
      <c r="AD104" s="870">
        <v>3056.4789999999994</v>
      </c>
      <c r="AE104" s="871"/>
      <c r="AF104" s="871"/>
      <c r="AG104" s="146">
        <f t="shared" ref="AG104:AG107" si="100">SUM(AD104:AF104)</f>
        <v>3056.4789999999994</v>
      </c>
      <c r="AH104" s="962"/>
      <c r="AI104" s="871"/>
      <c r="AJ104" s="878"/>
      <c r="AK104" s="870">
        <f>AD104+(AD104*$AP$119)</f>
        <v>3062.5919579999995</v>
      </c>
      <c r="AL104" s="867"/>
      <c r="AM104" s="867"/>
      <c r="AN104" s="146">
        <f t="shared" si="85"/>
        <v>3062.5919579999995</v>
      </c>
      <c r="AO104" s="877"/>
      <c r="AP104" s="877"/>
      <c r="AQ104" s="879"/>
      <c r="AR104" s="1433">
        <f>0.00214+$AU$126</f>
        <v>9.2747499999999997E-2</v>
      </c>
      <c r="AS104" s="1434">
        <f>0.00214+$AU$126</f>
        <v>9.2747499999999997E-2</v>
      </c>
      <c r="AT104" s="1434">
        <f>0.00214+$AU$126</f>
        <v>9.2747499999999997E-2</v>
      </c>
      <c r="AU104" s="282">
        <v>4.4900000000000002E-2</v>
      </c>
      <c r="AV104" s="282"/>
      <c r="AW104" s="282"/>
      <c r="AX104" s="282"/>
      <c r="AY104" s="282"/>
      <c r="AZ104" s="873">
        <f t="shared" ref="AZ104" si="101">100%-BA104</f>
        <v>1</v>
      </c>
      <c r="BA104" s="873">
        <v>0</v>
      </c>
      <c r="BB104" s="873">
        <f t="shared" ref="BB104" si="102">100%-BC104</f>
        <v>1</v>
      </c>
      <c r="BC104" s="873">
        <v>0</v>
      </c>
      <c r="BD104" s="1423"/>
      <c r="BE104" s="283">
        <v>0.49</v>
      </c>
      <c r="BF104" s="283"/>
      <c r="BG104" s="282"/>
      <c r="BH104" s="282"/>
      <c r="BI104" s="283"/>
      <c r="BJ104" s="281">
        <v>8.3999999999999995E-3</v>
      </c>
      <c r="BK104" s="307">
        <v>2.0999999999999999E-3</v>
      </c>
      <c r="BL104" s="289">
        <f t="shared" si="88"/>
        <v>547.79534209780502</v>
      </c>
      <c r="BM104" s="874" t="str">
        <f t="shared" si="65"/>
        <v>-</v>
      </c>
      <c r="BN104" s="874">
        <f t="shared" si="66"/>
        <v>547.79534209780502</v>
      </c>
      <c r="BO104" s="875"/>
    </row>
    <row r="105" spans="1:87" ht="15" thickBot="1">
      <c r="A105" s="311">
        <v>100</v>
      </c>
      <c r="B105" s="1424" t="s">
        <v>460</v>
      </c>
      <c r="C105" s="1424" t="s">
        <v>1264</v>
      </c>
      <c r="D105" s="482" t="s">
        <v>773</v>
      </c>
      <c r="E105" s="252" t="s">
        <v>1263</v>
      </c>
      <c r="F105" s="483" t="s">
        <v>462</v>
      </c>
      <c r="G105" s="1574" t="s">
        <v>349</v>
      </c>
      <c r="H105" s="924">
        <v>25</v>
      </c>
      <c r="I105" s="916"/>
      <c r="J105" s="917">
        <v>3453.3440000000001</v>
      </c>
      <c r="K105" s="917">
        <v>3373.672</v>
      </c>
      <c r="L105" s="242">
        <f t="shared" si="98"/>
        <v>6827.0159999999996</v>
      </c>
      <c r="M105" s="884"/>
      <c r="N105" s="883"/>
      <c r="O105" s="885"/>
      <c r="P105" s="882"/>
      <c r="Q105" s="917">
        <v>3229.26</v>
      </c>
      <c r="R105" s="917">
        <v>3707.9180000000001</v>
      </c>
      <c r="S105" s="242">
        <f t="shared" si="99"/>
        <v>6937.1779999999999</v>
      </c>
      <c r="T105" s="884"/>
      <c r="U105" s="883"/>
      <c r="V105" s="885"/>
      <c r="W105" s="882">
        <v>154.226</v>
      </c>
      <c r="X105" s="883"/>
      <c r="Y105" s="883"/>
      <c r="Z105" s="242">
        <f t="shared" si="83"/>
        <v>154.226</v>
      </c>
      <c r="AA105" s="964"/>
      <c r="AB105" s="883"/>
      <c r="AC105" s="885"/>
      <c r="AD105" s="882">
        <v>91.619</v>
      </c>
      <c r="AE105" s="883"/>
      <c r="AF105" s="883"/>
      <c r="AG105" s="242">
        <f t="shared" si="100"/>
        <v>91.619</v>
      </c>
      <c r="AH105" s="964"/>
      <c r="AI105" s="883"/>
      <c r="AJ105" s="885"/>
      <c r="AK105" s="1575">
        <v>0</v>
      </c>
      <c r="AL105" s="883"/>
      <c r="AM105" s="883"/>
      <c r="AN105" s="242">
        <f t="shared" si="85"/>
        <v>0</v>
      </c>
      <c r="AO105" s="884"/>
      <c r="AP105" s="884"/>
      <c r="AQ105" s="886"/>
      <c r="AR105" s="1576"/>
      <c r="AS105" s="1577"/>
      <c r="AT105" s="1577"/>
      <c r="AU105" s="1512"/>
      <c r="AV105" s="285"/>
      <c r="AW105" s="285"/>
      <c r="AX105" s="285"/>
      <c r="AY105" s="285"/>
      <c r="AZ105" s="887">
        <f t="shared" ref="AZ105" si="103">100%-BA105</f>
        <v>1</v>
      </c>
      <c r="BA105" s="887">
        <v>0</v>
      </c>
      <c r="BB105" s="887">
        <f t="shared" ref="BB105" si="104">100%-BC105</f>
        <v>1</v>
      </c>
      <c r="BC105" s="887">
        <v>0</v>
      </c>
      <c r="BD105" s="1570"/>
      <c r="BE105" s="286"/>
      <c r="BF105" s="286"/>
      <c r="BG105" s="285"/>
      <c r="BH105" s="285"/>
      <c r="BI105" s="286"/>
      <c r="BJ105" s="285">
        <v>8.3999999999999995E-3</v>
      </c>
      <c r="BK105" s="1571">
        <v>2.0999999999999999E-3</v>
      </c>
      <c r="BL105" s="287">
        <f t="shared" ref="BL105" si="105">(AK105*AR105)+(AL105*AS105)+(AM105*AT105)+(AN105*AU105)+((AL105*AV105)*AZ105)+((AL105*AX105)*BA105)+((AM105*AW105)*BB105)+((AM105*AY105)*BC105)+(BD105*12)+(H105*BE105*12)+(BF105*12)+(AO105*BG105)+(AP105*BH105)+(AQ105*BI105)+(BJ105*AN105)+(BK105*AN105)</f>
        <v>0</v>
      </c>
      <c r="BM105" s="888">
        <f t="shared" ref="BM105" si="106">IF(D105="V",BL105-BO105,"-")</f>
        <v>0</v>
      </c>
      <c r="BN105" s="888" t="str">
        <f t="shared" ref="BN105" si="107">IF(D105="R",BL105-BO105,"-")</f>
        <v>-</v>
      </c>
      <c r="BO105" s="889"/>
    </row>
    <row r="106" spans="1:87" ht="30" thickTop="1" thickBot="1">
      <c r="A106" s="311">
        <v>101</v>
      </c>
      <c r="B106" s="1499" t="s">
        <v>604</v>
      </c>
      <c r="C106" s="1499" t="s">
        <v>1253</v>
      </c>
      <c r="D106" s="1500" t="s">
        <v>774</v>
      </c>
      <c r="E106" s="1501" t="s">
        <v>881</v>
      </c>
      <c r="F106" s="1502" t="s">
        <v>882</v>
      </c>
      <c r="G106" s="1559" t="s">
        <v>885</v>
      </c>
      <c r="H106" s="1560">
        <v>0</v>
      </c>
      <c r="I106" s="1503"/>
      <c r="J106" s="1561" t="s">
        <v>349</v>
      </c>
      <c r="K106" s="1561" t="s">
        <v>349</v>
      </c>
      <c r="L106" s="1562">
        <f t="shared" si="98"/>
        <v>0</v>
      </c>
      <c r="M106" s="1505"/>
      <c r="N106" s="1457"/>
      <c r="O106" s="1506"/>
      <c r="P106" s="1507"/>
      <c r="Q106" s="1504">
        <v>329.50199999999995</v>
      </c>
      <c r="R106" s="1504">
        <v>423.78699999999992</v>
      </c>
      <c r="S106" s="1562">
        <f t="shared" si="82"/>
        <v>753.28899999999987</v>
      </c>
      <c r="T106" s="1505"/>
      <c r="U106" s="1457"/>
      <c r="V106" s="1506"/>
      <c r="W106" s="1507"/>
      <c r="X106" s="1457">
        <v>353.50099999999998</v>
      </c>
      <c r="Y106" s="1457">
        <v>439.75600000000009</v>
      </c>
      <c r="Z106" s="1562">
        <f t="shared" si="83"/>
        <v>793.25700000000006</v>
      </c>
      <c r="AA106" s="1508"/>
      <c r="AB106" s="1457"/>
      <c r="AC106" s="1506"/>
      <c r="AD106" s="1507"/>
      <c r="AE106" s="1457">
        <v>353.38600000000002</v>
      </c>
      <c r="AF106" s="1457">
        <v>420.11400000000003</v>
      </c>
      <c r="AG106" s="1562">
        <f t="shared" si="100"/>
        <v>773.5</v>
      </c>
      <c r="AH106" s="1508"/>
      <c r="AI106" s="1457"/>
      <c r="AJ106" s="1506"/>
      <c r="AK106" s="1507"/>
      <c r="AL106" s="1457">
        <f t="shared" ref="AL106" si="108">AE106+(AE106*$AP$119)</f>
        <v>354.09277200000002</v>
      </c>
      <c r="AM106" s="1457">
        <f t="shared" ref="AM106" si="109">AF106+(AF106*$AP$119)</f>
        <v>420.95422800000006</v>
      </c>
      <c r="AN106" s="1562">
        <f t="shared" si="85"/>
        <v>775.04700000000003</v>
      </c>
      <c r="AO106" s="1505"/>
      <c r="AP106" s="1505"/>
      <c r="AQ106" s="1509"/>
      <c r="AR106" s="1563">
        <f>0.00214+$AU$126</f>
        <v>9.2747499999999997E-2</v>
      </c>
      <c r="AS106" s="1564">
        <f>0.00214+$AU$126</f>
        <v>9.2747499999999997E-2</v>
      </c>
      <c r="AT106" s="1564">
        <f>0.00214+$AU$126</f>
        <v>9.2747499999999997E-2</v>
      </c>
      <c r="AU106" s="1511"/>
      <c r="AV106" s="1511">
        <v>6.9180000000000005E-2</v>
      </c>
      <c r="AW106" s="1511">
        <v>4.7079999999999997E-2</v>
      </c>
      <c r="AX106" s="1511"/>
      <c r="AY106" s="1511"/>
      <c r="AZ106" s="1565">
        <v>1</v>
      </c>
      <c r="BA106" s="1565">
        <v>0</v>
      </c>
      <c r="BB106" s="1565">
        <v>1</v>
      </c>
      <c r="BC106" s="1565">
        <v>0</v>
      </c>
      <c r="BD106" s="1566"/>
      <c r="BE106" s="1566"/>
      <c r="BF106" s="1566"/>
      <c r="BG106" s="1511"/>
      <c r="BH106" s="1511"/>
      <c r="BI106" s="1566"/>
      <c r="BJ106" s="1511">
        <v>8.3999999999999995E-3</v>
      </c>
      <c r="BK106" s="1571">
        <v>2.0999999999999999E-3</v>
      </c>
      <c r="BL106" s="1567">
        <f t="shared" si="88"/>
        <v>124.33632815370001</v>
      </c>
      <c r="BM106" s="1568" t="str">
        <f t="shared" si="65"/>
        <v>-</v>
      </c>
      <c r="BN106" s="1568">
        <f t="shared" si="66"/>
        <v>124.33632815370001</v>
      </c>
      <c r="BO106" s="1510"/>
    </row>
    <row r="107" spans="1:87" ht="15" thickTop="1">
      <c r="A107" s="1463">
        <v>102</v>
      </c>
      <c r="B107" s="1464" t="s">
        <v>468</v>
      </c>
      <c r="C107" s="1464" t="s">
        <v>469</v>
      </c>
      <c r="D107" s="1465" t="s">
        <v>773</v>
      </c>
      <c r="E107" s="1466" t="s">
        <v>349</v>
      </c>
      <c r="F107" s="1467" t="s">
        <v>470</v>
      </c>
      <c r="G107" s="1468" t="s">
        <v>349</v>
      </c>
      <c r="H107" s="1469">
        <v>25</v>
      </c>
      <c r="I107" s="1470"/>
      <c r="J107" s="1471"/>
      <c r="K107" s="1471"/>
      <c r="L107" s="1472">
        <f t="shared" si="98"/>
        <v>0</v>
      </c>
      <c r="M107" s="1473"/>
      <c r="N107" s="1474"/>
      <c r="O107" s="1475"/>
      <c r="P107" s="1476">
        <f>89080-85255</f>
        <v>3825</v>
      </c>
      <c r="Q107" s="1474"/>
      <c r="R107" s="1474"/>
      <c r="S107" s="1472">
        <f t="shared" si="82"/>
        <v>3825</v>
      </c>
      <c r="T107" s="1473"/>
      <c r="U107" s="1474"/>
      <c r="V107" s="1475"/>
      <c r="W107" s="1476">
        <f>90668-89080</f>
        <v>1588</v>
      </c>
      <c r="X107" s="1474"/>
      <c r="Y107" s="1474"/>
      <c r="Z107" s="1472">
        <f t="shared" si="83"/>
        <v>1588</v>
      </c>
      <c r="AA107" s="1473"/>
      <c r="AB107" s="1474"/>
      <c r="AC107" s="1475"/>
      <c r="AD107" s="1476">
        <f>90796-90668</f>
        <v>128</v>
      </c>
      <c r="AE107" s="1474"/>
      <c r="AF107" s="1474"/>
      <c r="AG107" s="1472">
        <f t="shared" si="100"/>
        <v>128</v>
      </c>
      <c r="AH107" s="1473"/>
      <c r="AI107" s="1474"/>
      <c r="AJ107" s="1475"/>
      <c r="AK107" s="1476">
        <f>AD107+(AD107*$AP$118)</f>
        <v>128.12799999999999</v>
      </c>
      <c r="AL107" s="1474"/>
      <c r="AM107" s="1474"/>
      <c r="AN107" s="1472">
        <f t="shared" si="85"/>
        <v>128.12799999999999</v>
      </c>
      <c r="AO107" s="1473"/>
      <c r="AP107" s="1473"/>
      <c r="AQ107" s="1477"/>
      <c r="AR107" s="1555">
        <v>6.5189999999999998E-2</v>
      </c>
      <c r="AS107" s="1459"/>
      <c r="AT107" s="1459"/>
      <c r="AU107" s="1460">
        <v>3.0099999999999998E-2</v>
      </c>
      <c r="AV107" s="1460"/>
      <c r="AW107" s="1460"/>
      <c r="AX107" s="1460"/>
      <c r="AY107" s="1460"/>
      <c r="AZ107" s="1461">
        <v>1</v>
      </c>
      <c r="BA107" s="1461">
        <v>0</v>
      </c>
      <c r="BB107" s="1461">
        <v>1</v>
      </c>
      <c r="BC107" s="1461">
        <v>0</v>
      </c>
      <c r="BD107" s="1462"/>
      <c r="BE107" s="1462">
        <f>11.75/25</f>
        <v>0.47</v>
      </c>
      <c r="BF107" s="1462"/>
      <c r="BG107" s="1460"/>
      <c r="BH107" s="1460"/>
      <c r="BI107" s="1462"/>
      <c r="BJ107" s="1460">
        <v>8.3999999999999995E-3</v>
      </c>
      <c r="BK107" s="307">
        <v>2.0999999999999999E-3</v>
      </c>
      <c r="BL107" s="1478">
        <f t="shared" si="88"/>
        <v>154.55466112000002</v>
      </c>
      <c r="BM107" s="1479">
        <f t="shared" ref="BM107:BM108" si="110">IF(D107="V",BL107-BO107,"-")</f>
        <v>154.55466112000002</v>
      </c>
      <c r="BN107" s="1479" t="str">
        <f t="shared" ref="BN107:BN108" si="111">IF(D107="R",BL107-BO107,"-")</f>
        <v>-</v>
      </c>
      <c r="BO107" s="1480"/>
    </row>
    <row r="108" spans="1:87" ht="15" thickBot="1">
      <c r="A108" s="445"/>
      <c r="B108" s="909"/>
      <c r="C108" s="446"/>
      <c r="D108" s="855"/>
      <c r="E108" s="447"/>
      <c r="F108" s="910"/>
      <c r="G108" s="911"/>
      <c r="H108" s="876"/>
      <c r="I108" s="866"/>
      <c r="J108" s="867"/>
      <c r="K108" s="867"/>
      <c r="L108" s="146">
        <f t="shared" si="98"/>
        <v>0</v>
      </c>
      <c r="M108" s="877"/>
      <c r="N108" s="871"/>
      <c r="O108" s="878"/>
      <c r="P108" s="866"/>
      <c r="Q108" s="867"/>
      <c r="R108" s="867"/>
      <c r="S108" s="146">
        <f t="shared" si="82"/>
        <v>0</v>
      </c>
      <c r="T108" s="877"/>
      <c r="U108" s="871"/>
      <c r="V108" s="878"/>
      <c r="W108" s="866"/>
      <c r="X108" s="871"/>
      <c r="Y108" s="871"/>
      <c r="Z108" s="259">
        <f t="shared" ref="Z108" si="112">SUM(W108:Y108)</f>
        <v>0</v>
      </c>
      <c r="AA108" s="877"/>
      <c r="AB108" s="871"/>
      <c r="AC108" s="878"/>
      <c r="AD108" s="866"/>
      <c r="AE108" s="871"/>
      <c r="AF108" s="871"/>
      <c r="AG108" s="259">
        <f t="shared" ref="AG108" si="113">SUM(AD108:AF108)</f>
        <v>0</v>
      </c>
      <c r="AH108" s="877"/>
      <c r="AI108" s="871"/>
      <c r="AJ108" s="878"/>
      <c r="AK108" s="866"/>
      <c r="AL108" s="871"/>
      <c r="AM108" s="871"/>
      <c r="AN108" s="146">
        <f t="shared" si="85"/>
        <v>0</v>
      </c>
      <c r="AO108" s="877"/>
      <c r="AP108" s="877"/>
      <c r="AQ108" s="879"/>
      <c r="AR108" s="905"/>
      <c r="AS108" s="906"/>
      <c r="AT108" s="906"/>
      <c r="AU108" s="448"/>
      <c r="AV108" s="448"/>
      <c r="AW108" s="448"/>
      <c r="AX108" s="448"/>
      <c r="AY108" s="448"/>
      <c r="AZ108" s="907"/>
      <c r="BA108" s="907"/>
      <c r="BB108" s="907"/>
      <c r="BC108" s="907"/>
      <c r="BD108" s="449"/>
      <c r="BE108" s="449"/>
      <c r="BF108" s="449"/>
      <c r="BG108" s="448"/>
      <c r="BH108" s="448"/>
      <c r="BI108" s="449"/>
      <c r="BJ108" s="448"/>
      <c r="BK108" s="908"/>
      <c r="BL108" s="289">
        <f t="shared" si="88"/>
        <v>0</v>
      </c>
      <c r="BM108" s="874" t="str">
        <f t="shared" si="110"/>
        <v>-</v>
      </c>
      <c r="BN108" s="874" t="str">
        <f t="shared" si="111"/>
        <v>-</v>
      </c>
      <c r="BO108" s="875"/>
    </row>
    <row r="109" spans="1:87" ht="15" thickBot="1">
      <c r="B109" s="893"/>
      <c r="E109" s="253"/>
      <c r="F109" s="253"/>
      <c r="G109" s="450"/>
      <c r="H109" s="894"/>
      <c r="I109" s="895">
        <f>SUM(I6:I108)</f>
        <v>0</v>
      </c>
      <c r="J109" s="896">
        <f>SUM(J6:J108)</f>
        <v>403768.79300000001</v>
      </c>
      <c r="K109" s="896">
        <f>SUM(K6:K108)</f>
        <v>361580.071</v>
      </c>
      <c r="L109" s="897">
        <f>SUM(L6:L108)</f>
        <v>765348.86400000018</v>
      </c>
      <c r="M109" s="896">
        <f>SUM(M6:M108)</f>
        <v>4333.33</v>
      </c>
      <c r="N109" s="896">
        <f>SUM(N6:N108)</f>
        <v>635.17999999999995</v>
      </c>
      <c r="O109" s="898">
        <f>SUM(O6:O108)</f>
        <v>0</v>
      </c>
      <c r="P109" s="895">
        <f>SUM(P6:P108)</f>
        <v>3825</v>
      </c>
      <c r="Q109" s="896">
        <f>SUM(Q6:Q108)</f>
        <v>389946.38900000008</v>
      </c>
      <c r="R109" s="896">
        <f>SUM(R6:R108)</f>
        <v>382145.39</v>
      </c>
      <c r="S109" s="897">
        <f>SUM(S6:S108)</f>
        <v>775916.77899999975</v>
      </c>
      <c r="T109" s="896">
        <f>SUM(T6:T108)</f>
        <v>4451.0349999999999</v>
      </c>
      <c r="U109" s="896">
        <f>SUM(U6:U108)</f>
        <v>4910.2790000000005</v>
      </c>
      <c r="V109" s="898">
        <f>SUM(V6:V108)</f>
        <v>185</v>
      </c>
      <c r="W109" s="895">
        <f>SUM(W6:W108)</f>
        <v>71641.668000000005</v>
      </c>
      <c r="X109" s="896">
        <f>SUM(X6:X108)</f>
        <v>336056.17199999996</v>
      </c>
      <c r="Y109" s="896">
        <f>SUM(Y6:Y108)</f>
        <v>335424.41199999989</v>
      </c>
      <c r="Z109" s="897">
        <f>SUM(Z6:Z108)</f>
        <v>743122.25200000009</v>
      </c>
      <c r="AA109" s="896">
        <f>SUM(AA6:AA108)</f>
        <v>4056.136</v>
      </c>
      <c r="AB109" s="896">
        <f>SUM(AB6:AB108)</f>
        <v>4939.375</v>
      </c>
      <c r="AC109" s="898">
        <f>SUM(AC6:AC108)</f>
        <v>187</v>
      </c>
      <c r="AD109" s="895">
        <f>SUM(AD6:AD108)</f>
        <v>64556.537999999986</v>
      </c>
      <c r="AE109" s="896">
        <f>SUM(AE6:AE108)</f>
        <v>350532.4310000001</v>
      </c>
      <c r="AF109" s="896">
        <f>SUM(AF6:AF108)</f>
        <v>352217.09899999999</v>
      </c>
      <c r="AG109" s="897">
        <f>SUM(AG6:AG108)</f>
        <v>767306.0680000002</v>
      </c>
      <c r="AH109" s="896">
        <f>SUM(AH6:AH108)</f>
        <v>8050.585</v>
      </c>
      <c r="AI109" s="896">
        <f>SUM(AI6:AI108)</f>
        <v>4842.4339999999993</v>
      </c>
      <c r="AJ109" s="898">
        <f>SUM(AJ6:AJ108)</f>
        <v>226.33500000000001</v>
      </c>
      <c r="AK109" s="895">
        <f>SUM(AK6:AK108)</f>
        <v>69634.10169000001</v>
      </c>
      <c r="AL109" s="896">
        <f>SUM(AL6:AL108)</f>
        <v>353315.03191933333</v>
      </c>
      <c r="AM109" s="896">
        <f>SUM(AM6:AM108)</f>
        <v>355529.28423233336</v>
      </c>
      <c r="AN109" s="897">
        <f>SUM(AN6:AN108)</f>
        <v>778478.41784166684</v>
      </c>
      <c r="AO109" s="896">
        <f>SUM(AO6:AO108)</f>
        <v>8058.635585</v>
      </c>
      <c r="AP109" s="896">
        <f>SUM(AP6:AP108)</f>
        <v>4847.2764339999994</v>
      </c>
      <c r="AQ109" s="942">
        <f>SUM(AQ6:AQ108)</f>
        <v>226.56133500000001</v>
      </c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3"/>
      <c r="BH109" s="450"/>
      <c r="BI109" s="1863" t="s">
        <v>570</v>
      </c>
      <c r="BJ109" s="1863"/>
      <c r="BK109" s="899">
        <f>BL109-SUM(BM109:BO109)</f>
        <v>0</v>
      </c>
      <c r="BL109" s="451">
        <f>SUM(BL6:BL108)</f>
        <v>125359.14096024756</v>
      </c>
      <c r="BM109" s="452">
        <f>SUM(BM6:BM108)</f>
        <v>87395.212563125286</v>
      </c>
      <c r="BN109" s="452">
        <f>SUM(BN6:BN108)</f>
        <v>37112.724629266893</v>
      </c>
      <c r="BO109" s="453">
        <f>SUM(BO6:BO108)</f>
        <v>851.20376785536166</v>
      </c>
    </row>
    <row r="110" spans="1:87">
      <c r="A110" s="903"/>
      <c r="B110" s="450"/>
      <c r="C110" s="455"/>
      <c r="D110" s="455"/>
      <c r="E110" s="455"/>
      <c r="F110" s="450"/>
      <c r="G110" s="450"/>
      <c r="H110" s="90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450"/>
      <c r="AL110" s="458"/>
      <c r="AM110" s="458"/>
      <c r="AN110" s="904"/>
      <c r="AO110" s="904"/>
      <c r="AP110" s="904"/>
      <c r="AR110" s="465"/>
      <c r="AS110" s="465"/>
      <c r="AT110" s="465"/>
      <c r="AU110" s="465"/>
      <c r="AV110" s="465"/>
      <c r="AW110" s="465"/>
      <c r="AX110" s="465"/>
      <c r="AY110" s="465"/>
      <c r="AZ110" s="900"/>
      <c r="BA110" s="455"/>
      <c r="BB110" s="455"/>
      <c r="BC110" s="455"/>
      <c r="BD110" s="468"/>
      <c r="BE110" s="902"/>
      <c r="BF110" s="469"/>
      <c r="BG110" s="455"/>
      <c r="BM110" s="957">
        <f>ROUND(IF(BM109&gt;0,BM109/SUM(BM109:BN109),0),2)</f>
        <v>0.7</v>
      </c>
      <c r="BN110" s="958">
        <f>ROUND(IF(BN109&gt;0,BN109/SUM(BM109:BN109),0),2)</f>
        <v>0.3</v>
      </c>
      <c r="BO110" s="959">
        <f>SUM(BM110:BN110)</f>
        <v>1</v>
      </c>
      <c r="BP110" s="959" t="s">
        <v>775</v>
      </c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</row>
    <row r="111" spans="1:87">
      <c r="A111" s="903"/>
      <c r="B111" s="450"/>
      <c r="C111" s="2046"/>
      <c r="D111" s="455"/>
      <c r="E111" s="455"/>
      <c r="F111" s="450"/>
      <c r="G111" s="450"/>
      <c r="H111" s="450"/>
      <c r="I111" s="1793" t="s">
        <v>776</v>
      </c>
      <c r="J111" s="1793"/>
      <c r="K111" s="1793"/>
      <c r="L111" s="927">
        <f>L109</f>
        <v>765348.86400000018</v>
      </c>
      <c r="M111" s="928" t="s">
        <v>61</v>
      </c>
      <c r="N111" s="454" t="s">
        <v>777</v>
      </c>
      <c r="O111" s="450"/>
      <c r="P111" s="1793" t="s">
        <v>776</v>
      </c>
      <c r="Q111" s="1793"/>
      <c r="R111" s="1793"/>
      <c r="S111" s="927">
        <f>S109</f>
        <v>775916.77899999975</v>
      </c>
      <c r="T111" s="928" t="s">
        <v>61</v>
      </c>
      <c r="U111" s="454" t="s">
        <v>777</v>
      </c>
      <c r="V111" s="450"/>
      <c r="W111" s="1793" t="s">
        <v>776</v>
      </c>
      <c r="X111" s="1793"/>
      <c r="Y111" s="1793"/>
      <c r="Z111" s="927">
        <f>Z109</f>
        <v>743122.25200000009</v>
      </c>
      <c r="AA111" s="928" t="s">
        <v>61</v>
      </c>
      <c r="AB111" s="454" t="s">
        <v>777</v>
      </c>
      <c r="AC111" s="450"/>
      <c r="AD111" s="1793" t="s">
        <v>776</v>
      </c>
      <c r="AE111" s="1793"/>
      <c r="AF111" s="1793"/>
      <c r="AG111" s="1414">
        <f>AG109</f>
        <v>767306.0680000002</v>
      </c>
      <c r="AH111" s="928" t="s">
        <v>61</v>
      </c>
      <c r="AI111" s="454" t="s">
        <v>777</v>
      </c>
      <c r="AJ111" s="450"/>
      <c r="AK111" s="1793" t="s">
        <v>776</v>
      </c>
      <c r="AL111" s="1793"/>
      <c r="AM111" s="1793"/>
      <c r="AN111" s="927">
        <f>AN109</f>
        <v>778478.41784166684</v>
      </c>
      <c r="AO111" s="928" t="s">
        <v>61</v>
      </c>
      <c r="AP111" s="454" t="s">
        <v>777</v>
      </c>
      <c r="AQ111" s="450"/>
      <c r="AR111" s="1869" t="s">
        <v>1064</v>
      </c>
      <c r="AS111" s="1869"/>
      <c r="AT111" s="1869"/>
      <c r="AU111" s="1869"/>
      <c r="AV111" s="1869"/>
      <c r="AW111" s="1869"/>
      <c r="AX111" s="900"/>
      <c r="AY111" s="900"/>
      <c r="AZ111" s="900"/>
      <c r="BA111" s="455"/>
      <c r="BB111" s="455"/>
      <c r="BC111" s="455"/>
      <c r="BD111" s="468"/>
      <c r="BE111" s="902"/>
      <c r="BF111" s="469"/>
      <c r="BG111" s="455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</row>
    <row r="112" spans="1:87" ht="15" thickBot="1">
      <c r="A112" s="903"/>
      <c r="B112" s="450"/>
      <c r="C112" s="455"/>
      <c r="D112" s="455"/>
      <c r="E112" s="455"/>
      <c r="F112" s="450"/>
      <c r="G112" s="450"/>
      <c r="H112" s="450"/>
      <c r="I112" s="1793" t="s">
        <v>778</v>
      </c>
      <c r="J112" s="1793"/>
      <c r="K112" s="1793"/>
      <c r="L112" s="456">
        <f>-(20%*L73)</f>
        <v>-2643.8680000000004</v>
      </c>
      <c r="M112" s="928" t="s">
        <v>61</v>
      </c>
      <c r="N112" s="457">
        <f>ROUND(-L112/L111,4)</f>
        <v>3.5000000000000001E-3</v>
      </c>
      <c r="O112" s="450"/>
      <c r="P112" s="1793" t="s">
        <v>778</v>
      </c>
      <c r="Q112" s="1793"/>
      <c r="R112" s="1793"/>
      <c r="S112" s="456">
        <f>-(20%*S73)</f>
        <v>-2649.1740000000004</v>
      </c>
      <c r="T112" s="928" t="s">
        <v>61</v>
      </c>
      <c r="U112" s="457">
        <f>ROUND(-S112/S111,4)</f>
        <v>3.3999999999999998E-3</v>
      </c>
      <c r="V112" s="450"/>
      <c r="W112" s="1793" t="s">
        <v>778</v>
      </c>
      <c r="X112" s="1793"/>
      <c r="Y112" s="1793"/>
      <c r="Z112" s="456">
        <f>-(20%*Z73)</f>
        <v>-2730.2762000000002</v>
      </c>
      <c r="AA112" s="928" t="s">
        <v>61</v>
      </c>
      <c r="AB112" s="457">
        <f>ROUND(-Z112/Z111,4)</f>
        <v>3.7000000000000002E-3</v>
      </c>
      <c r="AC112" s="450"/>
      <c r="AD112" s="1793" t="s">
        <v>778</v>
      </c>
      <c r="AE112" s="1793"/>
      <c r="AF112" s="1793"/>
      <c r="AG112" s="456">
        <f>-(20%*AG73)</f>
        <v>-2523.2808000000005</v>
      </c>
      <c r="AH112" s="928" t="s">
        <v>61</v>
      </c>
      <c r="AI112" s="457">
        <f>ROUND(-AG112/AG111,4)</f>
        <v>3.3E-3</v>
      </c>
      <c r="AJ112" s="450"/>
      <c r="AK112" s="1793" t="s">
        <v>778</v>
      </c>
      <c r="AL112" s="1793"/>
      <c r="AM112" s="1793"/>
      <c r="AN112" s="456">
        <f>-(20%*AN73)</f>
        <v>-2528.3273616000006</v>
      </c>
      <c r="AO112" s="928" t="s">
        <v>61</v>
      </c>
      <c r="AP112" s="457">
        <f>ROUND(-AN112/AN111,4)</f>
        <v>3.2000000000000002E-3</v>
      </c>
      <c r="AQ112" s="450"/>
      <c r="AR112" s="1870" t="s">
        <v>1256</v>
      </c>
      <c r="AS112" s="1871"/>
      <c r="AT112" s="1871"/>
      <c r="AU112" s="1871"/>
      <c r="AV112" s="1871"/>
      <c r="AW112" s="1871"/>
      <c r="AX112" s="1871"/>
      <c r="AY112" s="1871"/>
      <c r="AZ112" s="900"/>
      <c r="BA112" s="455"/>
      <c r="BB112" s="455"/>
      <c r="BC112" s="455"/>
      <c r="BD112" s="468"/>
      <c r="BE112" s="902"/>
      <c r="BF112" s="469"/>
      <c r="BG112" s="455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</row>
    <row r="113" spans="1:87" ht="15" thickBot="1">
      <c r="A113" s="903"/>
      <c r="B113" s="450"/>
      <c r="C113" s="2046"/>
      <c r="D113" s="455"/>
      <c r="E113" s="455"/>
      <c r="F113" s="450"/>
      <c r="G113" s="450"/>
      <c r="H113" s="901"/>
      <c r="I113" s="1793" t="s">
        <v>779</v>
      </c>
      <c r="J113" s="1793"/>
      <c r="K113" s="1793"/>
      <c r="L113" s="456">
        <f>-L57</f>
        <v>0</v>
      </c>
      <c r="M113" s="928" t="s">
        <v>61</v>
      </c>
      <c r="N113" s="457">
        <f>ROUND(-L113/L111,4)</f>
        <v>0</v>
      </c>
      <c r="O113" s="141"/>
      <c r="P113" s="1793" t="s">
        <v>779</v>
      </c>
      <c r="Q113" s="1793"/>
      <c r="R113" s="1793"/>
      <c r="S113" s="456">
        <f>-S57</f>
        <v>-881.10500000000002</v>
      </c>
      <c r="T113" s="928" t="s">
        <v>61</v>
      </c>
      <c r="U113" s="457">
        <f>ROUND(-S113/S111,4)</f>
        <v>1.1000000000000001E-3</v>
      </c>
      <c r="V113" s="141"/>
      <c r="W113" s="1793" t="s">
        <v>779</v>
      </c>
      <c r="X113" s="1793"/>
      <c r="Y113" s="1793"/>
      <c r="Z113" s="456">
        <f>-Z57</f>
        <v>-1829.9829999999999</v>
      </c>
      <c r="AA113" s="928" t="s">
        <v>61</v>
      </c>
      <c r="AB113" s="457">
        <f>ROUND(-Z113/Z111,4)</f>
        <v>2.5000000000000001E-3</v>
      </c>
      <c r="AC113" s="141"/>
      <c r="AD113" s="1793" t="s">
        <v>779</v>
      </c>
      <c r="AE113" s="1793"/>
      <c r="AF113" s="1793"/>
      <c r="AG113" s="456">
        <f>-AG57</f>
        <v>-1694.8879999999999</v>
      </c>
      <c r="AH113" s="928" t="s">
        <v>61</v>
      </c>
      <c r="AI113" s="457">
        <f>ROUND(-AG113/AG111,4)</f>
        <v>2.2000000000000001E-3</v>
      </c>
      <c r="AJ113" s="141"/>
      <c r="AK113" s="1793" t="s">
        <v>779</v>
      </c>
      <c r="AL113" s="1793"/>
      <c r="AM113" s="1793"/>
      <c r="AN113" s="456">
        <f>-AN57</f>
        <v>-1698.2777759999999</v>
      </c>
      <c r="AO113" s="928" t="s">
        <v>61</v>
      </c>
      <c r="AP113" s="457">
        <f>ROUND(-AN113/AN111,4)</f>
        <v>2.2000000000000001E-3</v>
      </c>
      <c r="AR113" s="1872" t="s">
        <v>1065</v>
      </c>
      <c r="AS113" s="1873"/>
      <c r="AT113" s="930" t="s">
        <v>1066</v>
      </c>
      <c r="AU113" s="931" t="s">
        <v>339</v>
      </c>
      <c r="AV113" s="900"/>
      <c r="AW113" s="900"/>
      <c r="AX113" s="900"/>
      <c r="AY113" s="900"/>
      <c r="AZ113" s="900"/>
      <c r="BA113" s="455"/>
      <c r="BB113" s="455"/>
      <c r="BC113" s="455"/>
      <c r="BD113" s="468"/>
      <c r="BE113" s="902"/>
      <c r="BF113" s="469"/>
      <c r="BG113" s="455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</row>
    <row r="114" spans="1:87">
      <c r="A114" s="903"/>
      <c r="B114" s="450"/>
      <c r="C114" s="1458"/>
      <c r="D114" s="450"/>
      <c r="E114" s="450"/>
      <c r="F114" s="450"/>
      <c r="G114" s="450"/>
      <c r="H114" s="901"/>
      <c r="I114" s="1794"/>
      <c r="J114" s="1794"/>
      <c r="K114" s="1794"/>
      <c r="L114" s="460"/>
      <c r="M114" s="461"/>
      <c r="N114" s="462"/>
      <c r="O114" s="141"/>
      <c r="P114" s="1794"/>
      <c r="Q114" s="1794"/>
      <c r="R114" s="1794"/>
      <c r="S114" s="460"/>
      <c r="T114" s="461"/>
      <c r="U114" s="462"/>
      <c r="V114" s="141"/>
      <c r="W114" s="1794"/>
      <c r="X114" s="1794"/>
      <c r="Y114" s="1794"/>
      <c r="Z114" s="460"/>
      <c r="AA114" s="461"/>
      <c r="AB114" s="462"/>
      <c r="AC114" s="141"/>
      <c r="AD114" s="1794"/>
      <c r="AE114" s="1794"/>
      <c r="AF114" s="1794"/>
      <c r="AG114" s="460"/>
      <c r="AH114" s="461"/>
      <c r="AI114" s="462"/>
      <c r="AJ114" s="141"/>
      <c r="AK114" s="1794"/>
      <c r="AL114" s="1794"/>
      <c r="AM114" s="1794"/>
      <c r="AN114" s="460"/>
      <c r="AO114" s="461"/>
      <c r="AP114" s="462"/>
      <c r="AR114" s="932">
        <v>1</v>
      </c>
      <c r="AS114" s="935" t="s">
        <v>1068</v>
      </c>
      <c r="AT114" s="2047">
        <v>68.260000000000005</v>
      </c>
      <c r="AU114" s="933">
        <f t="shared" ref="AU114:AU125" si="114">AT114/1000</f>
        <v>6.8260000000000001E-2</v>
      </c>
      <c r="AV114" s="900"/>
      <c r="AW114" s="900"/>
      <c r="AX114" s="900"/>
      <c r="AY114" s="900"/>
      <c r="AZ114" s="900"/>
      <c r="BA114" s="455"/>
      <c r="BB114" s="455"/>
      <c r="BC114" s="455"/>
      <c r="BD114" s="468"/>
      <c r="BE114" s="902"/>
      <c r="BF114" s="469"/>
      <c r="BG114" s="455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</row>
    <row r="115" spans="1:87">
      <c r="A115" s="903"/>
      <c r="B115" s="450"/>
      <c r="C115" s="450"/>
      <c r="D115" s="450"/>
      <c r="E115" s="450"/>
      <c r="F115" s="450"/>
      <c r="G115" s="450"/>
      <c r="H115" s="901"/>
      <c r="I115" s="1874" t="s">
        <v>780</v>
      </c>
      <c r="J115" s="1874"/>
      <c r="K115" s="1874"/>
      <c r="L115" s="463">
        <f>SUM(L111:L114)</f>
        <v>762704.99600000016</v>
      </c>
      <c r="M115" s="464" t="s">
        <v>61</v>
      </c>
      <c r="N115" s="454"/>
      <c r="O115" s="141"/>
      <c r="P115" s="1874" t="s">
        <v>780</v>
      </c>
      <c r="Q115" s="1874"/>
      <c r="R115" s="1874"/>
      <c r="S115" s="463">
        <f>SUM(S111:S114)</f>
        <v>772386.49999999977</v>
      </c>
      <c r="T115" s="464" t="s">
        <v>61</v>
      </c>
      <c r="U115" s="454"/>
      <c r="V115" s="141"/>
      <c r="W115" s="1874" t="s">
        <v>780</v>
      </c>
      <c r="X115" s="1874"/>
      <c r="Y115" s="1874"/>
      <c r="Z115" s="463">
        <f>SUM(Z111:Z114)</f>
        <v>738561.99280000012</v>
      </c>
      <c r="AA115" s="464" t="s">
        <v>61</v>
      </c>
      <c r="AB115" s="454"/>
      <c r="AC115" s="141"/>
      <c r="AD115" s="1874" t="s">
        <v>780</v>
      </c>
      <c r="AE115" s="1874"/>
      <c r="AF115" s="1874"/>
      <c r="AG115" s="463">
        <f>SUM(AG111:AG114)</f>
        <v>763087.89920000022</v>
      </c>
      <c r="AH115" s="464" t="s">
        <v>61</v>
      </c>
      <c r="AI115" s="454"/>
      <c r="AJ115" s="141"/>
      <c r="AK115" s="1874" t="s">
        <v>780</v>
      </c>
      <c r="AL115" s="1874"/>
      <c r="AM115" s="1874"/>
      <c r="AN115" s="463">
        <f>SUM(AN111:AN114)</f>
        <v>774251.81270406686</v>
      </c>
      <c r="AO115" s="464" t="s">
        <v>61</v>
      </c>
      <c r="AP115" s="454"/>
      <c r="AR115" s="934">
        <v>2</v>
      </c>
      <c r="AS115" s="935" t="s">
        <v>1069</v>
      </c>
      <c r="AT115" s="2047">
        <v>60.39</v>
      </c>
      <c r="AU115" s="933">
        <f t="shared" si="114"/>
        <v>6.0389999999999999E-2</v>
      </c>
      <c r="AV115" s="900"/>
      <c r="AW115" s="900"/>
      <c r="AX115" s="900"/>
      <c r="AY115" s="900"/>
      <c r="AZ115" s="900"/>
      <c r="BA115" s="455"/>
      <c r="BB115" s="455"/>
      <c r="BC115" s="455"/>
      <c r="BD115" s="468"/>
      <c r="BE115" s="902"/>
      <c r="BF115" s="469"/>
      <c r="BG115" s="455"/>
      <c r="BP115" s="141"/>
      <c r="BQ115" s="141"/>
      <c r="BR115" s="141"/>
      <c r="BS115" s="141"/>
      <c r="BT115" s="141"/>
      <c r="BU115" s="141"/>
      <c r="BV115" s="141"/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141"/>
      <c r="CG115" s="141"/>
      <c r="CH115" s="141"/>
      <c r="CI115" s="141"/>
    </row>
    <row r="116" spans="1:87">
      <c r="A116" s="903"/>
      <c r="B116" s="450"/>
      <c r="C116" s="450"/>
      <c r="D116" s="450"/>
      <c r="E116" s="450"/>
      <c r="F116" s="450"/>
      <c r="G116" s="450"/>
      <c r="H116" s="90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R116" s="934">
        <v>3</v>
      </c>
      <c r="AS116" s="935" t="s">
        <v>1070</v>
      </c>
      <c r="AT116" s="2047">
        <v>75.849999999999994</v>
      </c>
      <c r="AU116" s="933">
        <f t="shared" si="114"/>
        <v>7.5850000000000001E-2</v>
      </c>
      <c r="AV116" s="900"/>
      <c r="AW116" s="900"/>
      <c r="AX116" s="900"/>
      <c r="AY116" s="900"/>
      <c r="AZ116" s="455"/>
      <c r="BA116" s="455"/>
      <c r="BB116" s="455"/>
      <c r="BC116" s="455"/>
      <c r="BD116" s="468"/>
      <c r="BE116" s="902"/>
      <c r="BF116" s="469"/>
      <c r="BG116" s="455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41"/>
      <c r="CB116" s="141"/>
      <c r="CC116" s="141"/>
      <c r="CD116" s="141"/>
      <c r="CE116" s="141"/>
      <c r="CF116" s="141"/>
      <c r="CG116" s="141"/>
      <c r="CH116" s="141"/>
      <c r="CI116" s="141"/>
    </row>
    <row r="117" spans="1:87" ht="15" thickBot="1">
      <c r="A117" s="903"/>
      <c r="B117" s="450"/>
      <c r="C117" s="450"/>
      <c r="D117" s="450"/>
      <c r="E117" s="450"/>
      <c r="F117" s="450"/>
      <c r="G117" s="450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788"/>
      <c r="AF117" s="1788"/>
      <c r="AG117" s="904"/>
      <c r="AH117" s="1514">
        <v>2024</v>
      </c>
      <c r="AI117" s="1513" t="s">
        <v>576</v>
      </c>
      <c r="AJ117" s="141"/>
      <c r="AL117" s="1789" t="s">
        <v>1220</v>
      </c>
      <c r="AM117" s="1790"/>
      <c r="AN117" s="466">
        <v>2024</v>
      </c>
      <c r="AO117" s="467">
        <v>2025</v>
      </c>
      <c r="AP117" s="466" t="s">
        <v>576</v>
      </c>
      <c r="AR117" s="934">
        <v>4</v>
      </c>
      <c r="AS117" s="935" t="s">
        <v>1219</v>
      </c>
      <c r="AT117" s="2047">
        <v>91.64</v>
      </c>
      <c r="AU117" s="933">
        <f t="shared" si="114"/>
        <v>9.1639999999999999E-2</v>
      </c>
      <c r="AV117" s="900"/>
      <c r="AW117" s="900"/>
      <c r="AX117" s="900"/>
      <c r="AY117" s="900"/>
      <c r="AZ117" s="455"/>
      <c r="BA117" s="455"/>
      <c r="BB117" s="455"/>
      <c r="BC117" s="455"/>
      <c r="BD117" s="468"/>
      <c r="BE117" s="902"/>
      <c r="BF117" s="469"/>
      <c r="BG117" s="455"/>
      <c r="BP117" s="141"/>
      <c r="BQ117" s="141"/>
      <c r="BR117" s="141"/>
      <c r="BS117" s="141"/>
      <c r="BT117" s="141"/>
      <c r="BU117" s="141"/>
      <c r="BV117" s="141"/>
      <c r="BW117" s="141"/>
      <c r="BX117" s="141"/>
      <c r="BY117" s="141"/>
      <c r="BZ117" s="141"/>
      <c r="CA117" s="141"/>
      <c r="CB117" s="141"/>
      <c r="CC117" s="141"/>
      <c r="CD117" s="141"/>
      <c r="CE117" s="141"/>
      <c r="CF117" s="141"/>
      <c r="CG117" s="141"/>
      <c r="CH117" s="141"/>
      <c r="CI117" s="141"/>
    </row>
    <row r="118" spans="1:87" ht="16.8" thickTop="1">
      <c r="A118" s="903"/>
      <c r="B118" s="450"/>
      <c r="C118" s="450"/>
      <c r="D118" s="450"/>
      <c r="E118" s="450"/>
      <c r="F118" s="450"/>
      <c r="G118" s="450"/>
      <c r="I118" s="141"/>
      <c r="J118" s="141"/>
      <c r="K118" s="141"/>
      <c r="L118" s="965"/>
      <c r="M118" s="141"/>
      <c r="N118" s="141"/>
      <c r="O118" s="141"/>
      <c r="P118" s="141"/>
      <c r="Q118" s="141"/>
      <c r="R118" s="141"/>
      <c r="S118" s="965"/>
      <c r="T118" s="141"/>
      <c r="U118" s="141"/>
      <c r="V118" s="141"/>
      <c r="W118" s="141"/>
      <c r="X118" s="141"/>
      <c r="Y118" s="141"/>
      <c r="Z118" s="965"/>
      <c r="AA118" s="141"/>
      <c r="AB118" s="141"/>
      <c r="AC118" s="141"/>
      <c r="AD118" s="141"/>
      <c r="AE118" s="1787"/>
      <c r="AF118" s="1787"/>
      <c r="AG118" s="1556"/>
      <c r="AH118" s="1515">
        <f>'3. Üldiseloomustus'!G11</f>
        <v>451050.13699999999</v>
      </c>
      <c r="AI118" s="943">
        <f>IF(AG118&gt;0,ROUND((AH118-AG118)/AG118,3),0)</f>
        <v>0</v>
      </c>
      <c r="AJ118" s="141"/>
      <c r="AL118" s="1795" t="s">
        <v>781</v>
      </c>
      <c r="AM118" s="1796"/>
      <c r="AN118" s="470">
        <f>AH118</f>
        <v>451050.13699999999</v>
      </c>
      <c r="AO118" s="471">
        <f>'3. Üldiseloomustus'!H11</f>
        <v>451652.38699999999</v>
      </c>
      <c r="AP118" s="943">
        <f>IF(AN118&gt;0,ROUND((AO118-AN118)/AN118,3),0)</f>
        <v>1E-3</v>
      </c>
      <c r="AR118" s="934">
        <v>5</v>
      </c>
      <c r="AS118" s="935" t="s">
        <v>1249</v>
      </c>
      <c r="AT118" s="2047">
        <v>97.97</v>
      </c>
      <c r="AU118" s="933">
        <f t="shared" si="114"/>
        <v>9.7970000000000002E-2</v>
      </c>
      <c r="AV118" s="900"/>
      <c r="AW118" s="900"/>
      <c r="AX118" s="900"/>
      <c r="AY118" s="900"/>
      <c r="AZ118" s="455"/>
      <c r="BA118" s="455"/>
      <c r="BB118" s="455"/>
      <c r="BC118" s="455"/>
      <c r="BD118" s="474"/>
      <c r="BE118" s="475"/>
      <c r="BF118" s="476"/>
      <c r="BG118" s="455"/>
      <c r="BP118" s="141"/>
      <c r="BQ118" s="141"/>
      <c r="BR118" s="141"/>
      <c r="BS118" s="141"/>
      <c r="BT118" s="141"/>
      <c r="BU118" s="141"/>
      <c r="BV118" s="141"/>
      <c r="BW118" s="141"/>
      <c r="BX118" s="141"/>
      <c r="BY118" s="141"/>
      <c r="BZ118" s="141"/>
      <c r="CA118" s="141"/>
      <c r="CB118" s="141"/>
      <c r="CC118" s="141"/>
      <c r="CD118" s="141"/>
      <c r="CE118" s="141"/>
      <c r="CF118" s="141"/>
      <c r="CG118" s="141"/>
      <c r="CH118" s="141"/>
      <c r="CI118" s="141"/>
    </row>
    <row r="119" spans="1:87" ht="16.2">
      <c r="A119" s="903"/>
      <c r="B119" s="450"/>
      <c r="C119" s="450"/>
      <c r="D119" s="450"/>
      <c r="E119" s="450"/>
      <c r="F119" s="450"/>
      <c r="G119" s="450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787"/>
      <c r="AF119" s="1787"/>
      <c r="AG119" s="1556"/>
      <c r="AH119" s="1515">
        <f>'3. Üldiseloomustus'!G61</f>
        <v>343140.54927962355</v>
      </c>
      <c r="AI119" s="943">
        <f>IF(AG119&gt;0,ROUND((AH119-AG119)/AG119,3),0)</f>
        <v>0</v>
      </c>
      <c r="AJ119" s="141"/>
      <c r="AL119" s="1797" t="s">
        <v>782</v>
      </c>
      <c r="AM119" s="1798"/>
      <c r="AN119" s="472">
        <f>AH119</f>
        <v>343140.54927962355</v>
      </c>
      <c r="AO119" s="473">
        <f>'3. Üldiseloomustus'!H61</f>
        <v>343742.79927962355</v>
      </c>
      <c r="AP119" s="943">
        <f>IF(AN119&gt;0,ROUND((AO119-AN119)/AN119,3),0)</f>
        <v>2E-3</v>
      </c>
      <c r="AR119" s="934">
        <v>6</v>
      </c>
      <c r="AS119" s="935" t="s">
        <v>1250</v>
      </c>
      <c r="AT119" s="2047">
        <v>106.95</v>
      </c>
      <c r="AU119" s="933">
        <f t="shared" si="114"/>
        <v>0.10695</v>
      </c>
      <c r="AV119" s="900"/>
      <c r="AW119" s="900"/>
      <c r="AX119" s="900"/>
      <c r="AY119" s="900"/>
      <c r="AZ119" s="455"/>
      <c r="BA119" s="455"/>
      <c r="BB119" s="455"/>
      <c r="BC119" s="455"/>
      <c r="BD119" s="455"/>
      <c r="BE119" s="455"/>
      <c r="BF119" s="455"/>
      <c r="BG119" s="455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  <c r="CC119" s="141"/>
      <c r="CD119" s="141"/>
      <c r="CE119" s="141"/>
      <c r="CF119" s="141"/>
      <c r="CG119" s="141"/>
      <c r="CH119" s="141"/>
      <c r="CI119" s="141"/>
    </row>
    <row r="120" spans="1:87">
      <c r="A120" s="903"/>
      <c r="B120" s="450"/>
      <c r="C120" s="450"/>
      <c r="D120" s="450"/>
      <c r="E120" s="450"/>
      <c r="F120" s="450"/>
      <c r="G120" s="450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455"/>
      <c r="AF120" s="455"/>
      <c r="AG120" s="455"/>
      <c r="AH120" s="141"/>
      <c r="AI120" s="141"/>
      <c r="AJ120" s="141"/>
      <c r="AR120" s="934">
        <v>7</v>
      </c>
      <c r="AS120" s="935" t="s">
        <v>1254</v>
      </c>
      <c r="AT120" s="2047">
        <v>84.15</v>
      </c>
      <c r="AU120" s="933">
        <f t="shared" si="114"/>
        <v>8.4150000000000003E-2</v>
      </c>
      <c r="AV120" s="900"/>
      <c r="AW120" s="900"/>
      <c r="AX120" s="900"/>
      <c r="AY120" s="900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</row>
    <row r="121" spans="1:87">
      <c r="A121" s="903"/>
      <c r="B121" s="450"/>
      <c r="C121" s="450"/>
      <c r="D121" s="450"/>
      <c r="E121" s="450"/>
      <c r="F121" s="450"/>
      <c r="G121" s="450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R121" s="934">
        <v>8</v>
      </c>
      <c r="AS121" s="935" t="s">
        <v>1255</v>
      </c>
      <c r="AT121" s="2047">
        <v>91.37</v>
      </c>
      <c r="AU121" s="933">
        <f t="shared" si="114"/>
        <v>9.1370000000000007E-2</v>
      </c>
      <c r="AV121" s="900"/>
      <c r="AW121" s="900"/>
      <c r="AX121" s="900"/>
      <c r="AY121" s="900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</row>
    <row r="122" spans="1:87">
      <c r="A122" s="903"/>
      <c r="B122" s="450"/>
      <c r="C122" s="450"/>
      <c r="D122" s="450"/>
      <c r="E122" s="450"/>
      <c r="F122" s="450"/>
      <c r="G122" s="450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R122" s="934">
        <v>9</v>
      </c>
      <c r="AS122" s="935" t="s">
        <v>1261</v>
      </c>
      <c r="AT122" s="2047">
        <v>82.56</v>
      </c>
      <c r="AU122" s="936">
        <f t="shared" si="114"/>
        <v>8.2560000000000008E-2</v>
      </c>
      <c r="AV122" s="900"/>
      <c r="AW122" s="900"/>
      <c r="AX122" s="900"/>
      <c r="AY122" s="900"/>
      <c r="BH122" s="459"/>
      <c r="BP122" s="141"/>
      <c r="BQ122" s="141"/>
      <c r="BR122" s="141"/>
      <c r="BS122" s="141"/>
      <c r="BT122" s="141"/>
      <c r="BU122" s="141"/>
      <c r="BV122" s="141"/>
      <c r="BW122" s="141"/>
      <c r="BX122" s="141"/>
      <c r="BY122" s="141"/>
      <c r="BZ122" s="141"/>
      <c r="CA122" s="141"/>
      <c r="CB122" s="141"/>
      <c r="CC122" s="141"/>
      <c r="CD122" s="141"/>
      <c r="CE122" s="141"/>
      <c r="CF122" s="141"/>
      <c r="CG122" s="141"/>
      <c r="CH122" s="141"/>
      <c r="CI122" s="141"/>
    </row>
    <row r="123" spans="1:87">
      <c r="A123" s="903"/>
      <c r="B123" s="450"/>
      <c r="C123" s="450"/>
      <c r="D123" s="450"/>
      <c r="E123" s="450"/>
      <c r="F123" s="450"/>
      <c r="G123" s="450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R123" s="934">
        <v>10</v>
      </c>
      <c r="AS123" s="935" t="s">
        <v>1262</v>
      </c>
      <c r="AT123" s="2047">
        <v>84.28</v>
      </c>
      <c r="AU123" s="936">
        <f t="shared" si="114"/>
        <v>8.4280000000000008E-2</v>
      </c>
      <c r="AV123" s="900"/>
      <c r="AW123" s="900"/>
      <c r="AX123" s="900"/>
      <c r="AY123" s="900"/>
      <c r="BH123" s="465"/>
      <c r="BP123" s="141"/>
      <c r="BQ123" s="141"/>
      <c r="BR123" s="141"/>
      <c r="BS123" s="141"/>
      <c r="BT123" s="141"/>
      <c r="BU123" s="141"/>
      <c r="BV123" s="141"/>
      <c r="BW123" s="141"/>
      <c r="BX123" s="141"/>
      <c r="BY123" s="141"/>
      <c r="BZ123" s="141"/>
      <c r="CA123" s="141"/>
      <c r="CB123" s="141"/>
      <c r="CC123" s="141"/>
      <c r="CD123" s="141"/>
      <c r="CE123" s="141"/>
      <c r="CF123" s="141"/>
      <c r="CG123" s="141"/>
      <c r="CH123" s="141"/>
      <c r="CI123" s="141"/>
    </row>
    <row r="124" spans="1:87">
      <c r="A124" s="903"/>
      <c r="B124" s="903"/>
      <c r="C124" s="450"/>
      <c r="D124" s="450"/>
      <c r="E124" s="450"/>
      <c r="F124" s="450"/>
      <c r="G124" s="450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R124" s="934">
        <v>11</v>
      </c>
      <c r="AS124" s="935" t="s">
        <v>1322</v>
      </c>
      <c r="AT124" s="2047">
        <v>92.02</v>
      </c>
      <c r="AU124" s="936">
        <f t="shared" si="114"/>
        <v>9.2019999999999991E-2</v>
      </c>
      <c r="AV124" s="900"/>
      <c r="AW124" s="900"/>
      <c r="AX124" s="900"/>
      <c r="AY124" s="900"/>
      <c r="BH124" s="450"/>
      <c r="BP124" s="141"/>
      <c r="BQ124" s="141"/>
      <c r="BR124" s="141"/>
      <c r="BS124" s="141"/>
      <c r="BT124" s="141"/>
      <c r="BU124" s="141"/>
      <c r="BV124" s="141"/>
      <c r="BW124" s="141"/>
      <c r="BX124" s="141"/>
      <c r="BY124" s="141"/>
      <c r="BZ124" s="141"/>
      <c r="CA124" s="141"/>
      <c r="CB124" s="141"/>
      <c r="CC124" s="141"/>
      <c r="CD124" s="141"/>
      <c r="CE124" s="141"/>
      <c r="CF124" s="141"/>
      <c r="CG124" s="141"/>
      <c r="CH124" s="141"/>
      <c r="CI124" s="141"/>
    </row>
    <row r="125" spans="1:87"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R125" s="934">
        <v>12</v>
      </c>
      <c r="AS125" s="935" t="s">
        <v>1067</v>
      </c>
      <c r="AT125" s="2047">
        <v>151.85</v>
      </c>
      <c r="AU125" s="936">
        <f t="shared" si="114"/>
        <v>0.15184999999999998</v>
      </c>
      <c r="AV125" s="900"/>
      <c r="AW125" s="900"/>
      <c r="AX125" s="900"/>
      <c r="AY125" s="900"/>
      <c r="BP125" s="141"/>
      <c r="BQ125" s="141"/>
      <c r="BR125" s="141"/>
      <c r="BS125" s="141"/>
      <c r="BT125" s="141"/>
      <c r="BU125" s="141"/>
      <c r="BV125" s="141"/>
      <c r="BW125" s="141"/>
      <c r="BX125" s="141"/>
      <c r="BY125" s="141"/>
      <c r="BZ125" s="141"/>
      <c r="CA125" s="141"/>
      <c r="CB125" s="141"/>
      <c r="CC125" s="141"/>
      <c r="CD125" s="141"/>
      <c r="CE125" s="141"/>
      <c r="CF125" s="141"/>
      <c r="CG125" s="141"/>
      <c r="CH125" s="141"/>
      <c r="CI125" s="141"/>
    </row>
    <row r="126" spans="1:87" ht="15.6"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R126" s="119"/>
      <c r="AS126" s="937" t="s">
        <v>1071</v>
      </c>
      <c r="AT126" s="938">
        <f>AVERAGE(AT114:AT125)</f>
        <v>90.607500000000002</v>
      </c>
      <c r="AU126" s="939">
        <f>AVERAGE(AU114:AU125)</f>
        <v>9.0607499999999994E-2</v>
      </c>
      <c r="AV126" s="900"/>
      <c r="AW126" s="940"/>
      <c r="AX126" s="941"/>
      <c r="AY126" s="900"/>
      <c r="BP126" s="141"/>
      <c r="BQ126" s="141"/>
      <c r="BR126" s="141"/>
      <c r="BS126" s="141"/>
      <c r="BT126" s="141"/>
      <c r="BU126" s="141"/>
      <c r="BV126" s="141"/>
      <c r="BW126" s="141"/>
      <c r="BX126" s="141"/>
      <c r="BY126" s="141"/>
      <c r="BZ126" s="141"/>
      <c r="CA126" s="141"/>
      <c r="CB126" s="141"/>
      <c r="CC126" s="141"/>
      <c r="CD126" s="141"/>
      <c r="CE126" s="141"/>
      <c r="CF126" s="141"/>
      <c r="CG126" s="141"/>
      <c r="CH126" s="141"/>
      <c r="CI126" s="141"/>
    </row>
    <row r="127" spans="1:87"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R127" s="477"/>
      <c r="AS127" s="478"/>
      <c r="AT127" s="902"/>
      <c r="AU127" s="469"/>
      <c r="AV127" s="455"/>
      <c r="BP127" s="141"/>
      <c r="BQ127" s="141"/>
      <c r="BR127" s="141"/>
      <c r="BS127" s="141"/>
      <c r="BT127" s="141"/>
      <c r="BU127" s="141"/>
      <c r="BV127" s="141"/>
      <c r="BW127" s="141"/>
      <c r="BX127" s="141"/>
      <c r="BY127" s="141"/>
      <c r="BZ127" s="141"/>
      <c r="CA127" s="141"/>
      <c r="CB127" s="141"/>
      <c r="CC127" s="141"/>
      <c r="CD127" s="141"/>
      <c r="CE127" s="141"/>
      <c r="CF127" s="141"/>
      <c r="CG127" s="141"/>
      <c r="CH127" s="141"/>
      <c r="CI127" s="141"/>
    </row>
    <row r="128" spans="1:87"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R128" s="477"/>
      <c r="AS128" s="478"/>
      <c r="AT128" s="902"/>
      <c r="AU128" s="469"/>
      <c r="AV128" s="455"/>
      <c r="BP128" s="141"/>
      <c r="BQ128" s="141"/>
      <c r="BR128" s="141"/>
      <c r="BS128" s="141"/>
      <c r="BT128" s="141"/>
      <c r="BU128" s="141"/>
      <c r="BV128" s="141"/>
      <c r="BW128" s="141"/>
      <c r="BX128" s="141"/>
      <c r="BY128" s="141"/>
      <c r="BZ128" s="141"/>
      <c r="CA128" s="141"/>
      <c r="CB128" s="141"/>
      <c r="CC128" s="141"/>
      <c r="CD128" s="141"/>
      <c r="CE128" s="141"/>
      <c r="CF128" s="141"/>
      <c r="CG128" s="141"/>
      <c r="CH128" s="141"/>
      <c r="CI128" s="141"/>
    </row>
    <row r="129" spans="1:87"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R129" s="477"/>
      <c r="AS129" s="478"/>
      <c r="AT129" s="902"/>
      <c r="AU129" s="469"/>
      <c r="AV129" s="455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41"/>
      <c r="CB129" s="141"/>
      <c r="CC129" s="141"/>
      <c r="CD129" s="141"/>
      <c r="CE129" s="141"/>
      <c r="CF129" s="141"/>
      <c r="CG129" s="141"/>
      <c r="CH129" s="141"/>
      <c r="CI129" s="141"/>
    </row>
    <row r="130" spans="1:87">
      <c r="A130" s="141"/>
      <c r="B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R130" s="477"/>
      <c r="AS130" s="478"/>
      <c r="AT130" s="902"/>
      <c r="AU130" s="469"/>
      <c r="AV130" s="455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  <c r="CC130" s="141"/>
      <c r="CD130" s="141"/>
      <c r="CE130" s="141"/>
      <c r="CF130" s="141"/>
      <c r="CG130" s="141"/>
      <c r="CH130" s="141"/>
      <c r="CI130" s="141"/>
    </row>
    <row r="131" spans="1:87"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R131" s="477"/>
      <c r="AS131" s="478"/>
      <c r="AT131" s="902"/>
      <c r="AU131" s="469"/>
      <c r="AV131" s="455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</row>
    <row r="132" spans="1:87"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R132" s="477"/>
      <c r="AS132" s="478"/>
      <c r="AT132" s="902"/>
      <c r="AU132" s="469"/>
      <c r="AV132" s="455"/>
      <c r="BP132" s="141"/>
      <c r="BQ132" s="141"/>
      <c r="BR132" s="141"/>
      <c r="BS132" s="141"/>
      <c r="BT132" s="141"/>
      <c r="BU132" s="141"/>
      <c r="BV132" s="141"/>
      <c r="BW132" s="141"/>
      <c r="BX132" s="141"/>
      <c r="BY132" s="141"/>
      <c r="BZ132" s="141"/>
      <c r="CA132" s="141"/>
      <c r="CB132" s="141"/>
      <c r="CC132" s="141"/>
      <c r="CD132" s="141"/>
      <c r="CE132" s="141"/>
      <c r="CF132" s="141"/>
      <c r="CG132" s="141"/>
      <c r="CH132" s="141"/>
      <c r="CI132" s="141"/>
    </row>
    <row r="133" spans="1:87"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R133" s="477"/>
      <c r="AS133" s="478"/>
      <c r="AT133" s="902"/>
      <c r="AU133" s="469"/>
      <c r="AV133" s="455"/>
      <c r="BP133" s="141"/>
      <c r="BQ133" s="141"/>
      <c r="BR133" s="141"/>
      <c r="BS133" s="141"/>
      <c r="BT133" s="141"/>
      <c r="BU133" s="141"/>
      <c r="BV133" s="141"/>
      <c r="BW133" s="141"/>
      <c r="BX133" s="141"/>
      <c r="BY133" s="141"/>
      <c r="BZ133" s="141"/>
      <c r="CA133" s="141"/>
      <c r="CB133" s="141"/>
      <c r="CC133" s="141"/>
      <c r="CD133" s="141"/>
      <c r="CE133" s="141"/>
      <c r="CF133" s="141"/>
      <c r="CG133" s="141"/>
      <c r="CH133" s="141"/>
      <c r="CI133" s="141"/>
    </row>
    <row r="134" spans="1:87"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R134" s="477"/>
      <c r="AS134" s="478"/>
      <c r="AT134" s="902"/>
      <c r="AU134" s="469"/>
      <c r="AV134" s="455"/>
      <c r="BP134" s="141"/>
      <c r="BQ134" s="141"/>
      <c r="BR134" s="141"/>
      <c r="BS134" s="141"/>
      <c r="BT134" s="141"/>
      <c r="BU134" s="141"/>
      <c r="BV134" s="141"/>
      <c r="BW134" s="141"/>
      <c r="BX134" s="141"/>
      <c r="BY134" s="141"/>
      <c r="BZ134" s="141"/>
      <c r="CA134" s="141"/>
      <c r="CB134" s="141"/>
      <c r="CC134" s="141"/>
      <c r="CD134" s="141"/>
      <c r="CE134" s="141"/>
      <c r="CF134" s="141"/>
      <c r="CG134" s="141"/>
      <c r="CH134" s="141"/>
      <c r="CI134" s="141"/>
    </row>
    <row r="135" spans="1:87"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R135" s="477"/>
      <c r="AS135" s="478"/>
      <c r="AT135" s="902"/>
      <c r="AU135" s="469"/>
      <c r="AV135" s="455"/>
      <c r="BP135" s="141"/>
      <c r="BQ135" s="141"/>
      <c r="BR135" s="141"/>
      <c r="BS135" s="141"/>
      <c r="BT135" s="141"/>
      <c r="BU135" s="141"/>
      <c r="BV135" s="141"/>
      <c r="BW135" s="141"/>
      <c r="BX135" s="141"/>
      <c r="BY135" s="141"/>
      <c r="BZ135" s="141"/>
      <c r="CA135" s="141"/>
      <c r="CB135" s="141"/>
      <c r="CC135" s="141"/>
      <c r="CD135" s="141"/>
      <c r="CE135" s="141"/>
      <c r="CF135" s="141"/>
      <c r="CG135" s="141"/>
      <c r="CH135" s="141"/>
      <c r="CI135" s="141"/>
    </row>
    <row r="136" spans="1:87"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R136" s="477"/>
      <c r="AS136" s="478"/>
      <c r="AT136" s="902"/>
      <c r="AU136" s="469"/>
      <c r="AV136" s="455"/>
      <c r="BP136" s="141"/>
      <c r="BQ136" s="141"/>
      <c r="BR136" s="141"/>
      <c r="BS136" s="141"/>
      <c r="BT136" s="141"/>
      <c r="BU136" s="141"/>
      <c r="BV136" s="141"/>
      <c r="BW136" s="141"/>
      <c r="BX136" s="141"/>
      <c r="BY136" s="141"/>
      <c r="BZ136" s="141"/>
      <c r="CA136" s="141"/>
      <c r="CB136" s="141"/>
      <c r="CC136" s="141"/>
      <c r="CD136" s="141"/>
      <c r="CE136" s="141"/>
      <c r="CF136" s="141"/>
      <c r="CG136" s="141"/>
      <c r="CH136" s="141"/>
      <c r="CI136" s="141"/>
    </row>
    <row r="137" spans="1:87"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R137" s="477"/>
      <c r="AS137" s="474"/>
      <c r="AT137" s="475"/>
      <c r="AU137" s="476"/>
      <c r="AV137" s="455"/>
      <c r="BP137" s="141"/>
      <c r="BQ137" s="141"/>
      <c r="BR137" s="141"/>
      <c r="BS137" s="141"/>
      <c r="BT137" s="141"/>
      <c r="BU137" s="141"/>
      <c r="BV137" s="141"/>
      <c r="BW137" s="141"/>
      <c r="BX137" s="141"/>
      <c r="BY137" s="141"/>
      <c r="BZ137" s="141"/>
      <c r="CA137" s="141"/>
      <c r="CB137" s="141"/>
      <c r="CC137" s="141"/>
      <c r="CD137" s="141"/>
      <c r="CE137" s="141"/>
      <c r="CF137" s="141"/>
      <c r="CG137" s="141"/>
      <c r="CH137" s="141"/>
      <c r="CI137" s="141"/>
    </row>
    <row r="138" spans="1:87">
      <c r="AR138" s="455"/>
      <c r="AS138" s="455"/>
      <c r="AT138" s="455"/>
      <c r="AU138" s="455"/>
      <c r="AV138" s="455"/>
    </row>
    <row r="139" spans="1:87">
      <c r="AR139" s="455"/>
      <c r="AS139" s="455"/>
      <c r="AT139" s="455"/>
      <c r="AU139" s="455"/>
      <c r="AV139" s="455"/>
    </row>
  </sheetData>
  <mergeCells count="92">
    <mergeCell ref="W114:Y114"/>
    <mergeCell ref="W115:Y115"/>
    <mergeCell ref="AK111:AM111"/>
    <mergeCell ref="AK112:AM112"/>
    <mergeCell ref="AK113:AM113"/>
    <mergeCell ref="AK114:AM114"/>
    <mergeCell ref="AK115:AM115"/>
    <mergeCell ref="AD115:AF115"/>
    <mergeCell ref="I114:K114"/>
    <mergeCell ref="I115:K115"/>
    <mergeCell ref="P111:R111"/>
    <mergeCell ref="P112:R112"/>
    <mergeCell ref="P113:R113"/>
    <mergeCell ref="P114:R114"/>
    <mergeCell ref="P115:R115"/>
    <mergeCell ref="AR111:AW111"/>
    <mergeCell ref="AR112:AY112"/>
    <mergeCell ref="I111:K111"/>
    <mergeCell ref="I112:K112"/>
    <mergeCell ref="I113:K113"/>
    <mergeCell ref="W111:Y111"/>
    <mergeCell ref="W112:Y112"/>
    <mergeCell ref="W113:Y113"/>
    <mergeCell ref="AR113:AS113"/>
    <mergeCell ref="AX4:AY4"/>
    <mergeCell ref="BI109:BJ109"/>
    <mergeCell ref="BI4:BI5"/>
    <mergeCell ref="BL4:BL5"/>
    <mergeCell ref="AQ3:AQ5"/>
    <mergeCell ref="AR3:AT4"/>
    <mergeCell ref="W3:Z4"/>
    <mergeCell ref="O3:O5"/>
    <mergeCell ref="BM4:BM5"/>
    <mergeCell ref="BN4:BN5"/>
    <mergeCell ref="BO4:BO5"/>
    <mergeCell ref="AZ4:BA4"/>
    <mergeCell ref="BB4:BC4"/>
    <mergeCell ref="BD4:BD5"/>
    <mergeCell ref="BE4:BE5"/>
    <mergeCell ref="BF4:BF5"/>
    <mergeCell ref="BG4:BH4"/>
    <mergeCell ref="BK3:BK5"/>
    <mergeCell ref="BL3:BO3"/>
    <mergeCell ref="AU3:BI3"/>
    <mergeCell ref="BJ3:BJ5"/>
    <mergeCell ref="AU4:AW4"/>
    <mergeCell ref="T4:T5"/>
    <mergeCell ref="U4:U5"/>
    <mergeCell ref="P3:S4"/>
    <mergeCell ref="T3:U3"/>
    <mergeCell ref="V3:V5"/>
    <mergeCell ref="AO3:AP3"/>
    <mergeCell ref="AO4:AO5"/>
    <mergeCell ref="AP4:AP5"/>
    <mergeCell ref="AA3:AB3"/>
    <mergeCell ref="AC3:AC5"/>
    <mergeCell ref="AA4:AA5"/>
    <mergeCell ref="AB4:AB5"/>
    <mergeCell ref="AH3:AI3"/>
    <mergeCell ref="AJ3:AJ5"/>
    <mergeCell ref="AH4:AH5"/>
    <mergeCell ref="A2:C2"/>
    <mergeCell ref="I2:O2"/>
    <mergeCell ref="P2:V2"/>
    <mergeCell ref="W2:AC2"/>
    <mergeCell ref="AK2:BO2"/>
    <mergeCell ref="AD2:AJ2"/>
    <mergeCell ref="F3:F5"/>
    <mergeCell ref="G3:G5"/>
    <mergeCell ref="H3:H5"/>
    <mergeCell ref="I3:L4"/>
    <mergeCell ref="M3:N3"/>
    <mergeCell ref="M4:M5"/>
    <mergeCell ref="N4:N5"/>
    <mergeCell ref="A3:A5"/>
    <mergeCell ref="B3:B5"/>
    <mergeCell ref="C3:C5"/>
    <mergeCell ref="D3:D5"/>
    <mergeCell ref="E3:E5"/>
    <mergeCell ref="AE118:AF118"/>
    <mergeCell ref="AE119:AF119"/>
    <mergeCell ref="AE117:AF117"/>
    <mergeCell ref="AL117:AM117"/>
    <mergeCell ref="AI4:AI5"/>
    <mergeCell ref="AD111:AF111"/>
    <mergeCell ref="AD112:AF112"/>
    <mergeCell ref="AD113:AF113"/>
    <mergeCell ref="AD114:AF114"/>
    <mergeCell ref="AL118:AM118"/>
    <mergeCell ref="AL119:AM119"/>
    <mergeCell ref="AD3:AG4"/>
    <mergeCell ref="AK3:AN4"/>
  </mergeCells>
  <hyperlinks>
    <hyperlink ref="AR112" r:id="rId1"/>
  </hyperlinks>
  <pageMargins left="0.7" right="0.7" top="0.75" bottom="0.75" header="0.3" footer="0.3"/>
  <pageSetup paperSize="9" orientation="portrait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1:K220"/>
  <sheetViews>
    <sheetView zoomScale="80" zoomScaleNormal="80" workbookViewId="0">
      <pane xSplit="2" ySplit="2" topLeftCell="C63" activePane="bottomRight" state="frozen"/>
      <selection activeCell="AB8" sqref="AB8"/>
      <selection pane="topRight" activeCell="AB8" sqref="AB8"/>
      <selection pane="bottomLeft" activeCell="AB8" sqref="AB8"/>
      <selection pane="bottomRight" activeCell="L29" sqref="L29"/>
    </sheetView>
  </sheetViews>
  <sheetFormatPr defaultRowHeight="13.8"/>
  <cols>
    <col min="1" max="1" width="8" style="280" customWidth="1"/>
    <col min="2" max="2" width="32" style="280" customWidth="1"/>
    <col min="3" max="7" width="18" style="280" customWidth="1"/>
    <col min="8" max="8" width="3.77734375" style="280" customWidth="1"/>
    <col min="9" max="10" width="11.77734375" style="280" customWidth="1"/>
    <col min="11" max="11" width="12.77734375" style="280" bestFit="1" customWidth="1"/>
    <col min="12" max="256" width="9.33203125" style="280"/>
    <col min="257" max="257" width="8" style="280" customWidth="1"/>
    <col min="258" max="258" width="28.109375" style="280" customWidth="1"/>
    <col min="259" max="259" width="9.44140625" style="280" customWidth="1"/>
    <col min="260" max="260" width="9.33203125" style="280"/>
    <col min="261" max="261" width="13.109375" style="280" customWidth="1"/>
    <col min="262" max="263" width="12.6640625" style="280" customWidth="1"/>
    <col min="264" max="264" width="53.77734375" style="280" customWidth="1"/>
    <col min="265" max="265" width="11.77734375" style="280" bestFit="1" customWidth="1"/>
    <col min="266" max="512" width="9.33203125" style="280"/>
    <col min="513" max="513" width="8" style="280" customWidth="1"/>
    <col min="514" max="514" width="28.109375" style="280" customWidth="1"/>
    <col min="515" max="515" width="9.44140625" style="280" customWidth="1"/>
    <col min="516" max="516" width="9.33203125" style="280"/>
    <col min="517" max="517" width="13.109375" style="280" customWidth="1"/>
    <col min="518" max="519" width="12.6640625" style="280" customWidth="1"/>
    <col min="520" max="520" width="53.77734375" style="280" customWidth="1"/>
    <col min="521" max="521" width="11.77734375" style="280" bestFit="1" customWidth="1"/>
    <col min="522" max="768" width="9.33203125" style="280"/>
    <col min="769" max="769" width="8" style="280" customWidth="1"/>
    <col min="770" max="770" width="28.109375" style="280" customWidth="1"/>
    <col min="771" max="771" width="9.44140625" style="280" customWidth="1"/>
    <col min="772" max="772" width="9.33203125" style="280"/>
    <col min="773" max="773" width="13.109375" style="280" customWidth="1"/>
    <col min="774" max="775" width="12.6640625" style="280" customWidth="1"/>
    <col min="776" max="776" width="53.77734375" style="280" customWidth="1"/>
    <col min="777" max="777" width="11.77734375" style="280" bestFit="1" customWidth="1"/>
    <col min="778" max="1024" width="9.33203125" style="280"/>
    <col min="1025" max="1025" width="8" style="280" customWidth="1"/>
    <col min="1026" max="1026" width="28.109375" style="280" customWidth="1"/>
    <col min="1027" max="1027" width="9.44140625" style="280" customWidth="1"/>
    <col min="1028" max="1028" width="9.33203125" style="280"/>
    <col min="1029" max="1029" width="13.109375" style="280" customWidth="1"/>
    <col min="1030" max="1031" width="12.6640625" style="280" customWidth="1"/>
    <col min="1032" max="1032" width="53.77734375" style="280" customWidth="1"/>
    <col min="1033" max="1033" width="11.77734375" style="280" bestFit="1" customWidth="1"/>
    <col min="1034" max="1280" width="9.33203125" style="280"/>
    <col min="1281" max="1281" width="8" style="280" customWidth="1"/>
    <col min="1282" max="1282" width="28.109375" style="280" customWidth="1"/>
    <col min="1283" max="1283" width="9.44140625" style="280" customWidth="1"/>
    <col min="1284" max="1284" width="9.33203125" style="280"/>
    <col min="1285" max="1285" width="13.109375" style="280" customWidth="1"/>
    <col min="1286" max="1287" width="12.6640625" style="280" customWidth="1"/>
    <col min="1288" max="1288" width="53.77734375" style="280" customWidth="1"/>
    <col min="1289" max="1289" width="11.77734375" style="280" bestFit="1" customWidth="1"/>
    <col min="1290" max="1536" width="9.33203125" style="280"/>
    <col min="1537" max="1537" width="8" style="280" customWidth="1"/>
    <col min="1538" max="1538" width="28.109375" style="280" customWidth="1"/>
    <col min="1539" max="1539" width="9.44140625" style="280" customWidth="1"/>
    <col min="1540" max="1540" width="9.33203125" style="280"/>
    <col min="1541" max="1541" width="13.109375" style="280" customWidth="1"/>
    <col min="1542" max="1543" width="12.6640625" style="280" customWidth="1"/>
    <col min="1544" max="1544" width="53.77734375" style="280" customWidth="1"/>
    <col min="1545" max="1545" width="11.77734375" style="280" bestFit="1" customWidth="1"/>
    <col min="1546" max="1792" width="9.33203125" style="280"/>
    <col min="1793" max="1793" width="8" style="280" customWidth="1"/>
    <col min="1794" max="1794" width="28.109375" style="280" customWidth="1"/>
    <col min="1795" max="1795" width="9.44140625" style="280" customWidth="1"/>
    <col min="1796" max="1796" width="9.33203125" style="280"/>
    <col min="1797" max="1797" width="13.109375" style="280" customWidth="1"/>
    <col min="1798" max="1799" width="12.6640625" style="280" customWidth="1"/>
    <col min="1800" max="1800" width="53.77734375" style="280" customWidth="1"/>
    <col min="1801" max="1801" width="11.77734375" style="280" bestFit="1" customWidth="1"/>
    <col min="1802" max="2048" width="9.33203125" style="280"/>
    <col min="2049" max="2049" width="8" style="280" customWidth="1"/>
    <col min="2050" max="2050" width="28.109375" style="280" customWidth="1"/>
    <col min="2051" max="2051" width="9.44140625" style="280" customWidth="1"/>
    <col min="2052" max="2052" width="9.33203125" style="280"/>
    <col min="2053" max="2053" width="13.109375" style="280" customWidth="1"/>
    <col min="2054" max="2055" width="12.6640625" style="280" customWidth="1"/>
    <col min="2056" max="2056" width="53.77734375" style="280" customWidth="1"/>
    <col min="2057" max="2057" width="11.77734375" style="280" bestFit="1" customWidth="1"/>
    <col min="2058" max="2304" width="9.33203125" style="280"/>
    <col min="2305" max="2305" width="8" style="280" customWidth="1"/>
    <col min="2306" max="2306" width="28.109375" style="280" customWidth="1"/>
    <col min="2307" max="2307" width="9.44140625" style="280" customWidth="1"/>
    <col min="2308" max="2308" width="9.33203125" style="280"/>
    <col min="2309" max="2309" width="13.109375" style="280" customWidth="1"/>
    <col min="2310" max="2311" width="12.6640625" style="280" customWidth="1"/>
    <col min="2312" max="2312" width="53.77734375" style="280" customWidth="1"/>
    <col min="2313" max="2313" width="11.77734375" style="280" bestFit="1" customWidth="1"/>
    <col min="2314" max="2560" width="9.33203125" style="280"/>
    <col min="2561" max="2561" width="8" style="280" customWidth="1"/>
    <col min="2562" max="2562" width="28.109375" style="280" customWidth="1"/>
    <col min="2563" max="2563" width="9.44140625" style="280" customWidth="1"/>
    <col min="2564" max="2564" width="9.33203125" style="280"/>
    <col min="2565" max="2565" width="13.109375" style="280" customWidth="1"/>
    <col min="2566" max="2567" width="12.6640625" style="280" customWidth="1"/>
    <col min="2568" max="2568" width="53.77734375" style="280" customWidth="1"/>
    <col min="2569" max="2569" width="11.77734375" style="280" bestFit="1" customWidth="1"/>
    <col min="2570" max="2816" width="9.33203125" style="280"/>
    <col min="2817" max="2817" width="8" style="280" customWidth="1"/>
    <col min="2818" max="2818" width="28.109375" style="280" customWidth="1"/>
    <col min="2819" max="2819" width="9.44140625" style="280" customWidth="1"/>
    <col min="2820" max="2820" width="9.33203125" style="280"/>
    <col min="2821" max="2821" width="13.109375" style="280" customWidth="1"/>
    <col min="2822" max="2823" width="12.6640625" style="280" customWidth="1"/>
    <col min="2824" max="2824" width="53.77734375" style="280" customWidth="1"/>
    <col min="2825" max="2825" width="11.77734375" style="280" bestFit="1" customWidth="1"/>
    <col min="2826" max="3072" width="9.33203125" style="280"/>
    <col min="3073" max="3073" width="8" style="280" customWidth="1"/>
    <col min="3074" max="3074" width="28.109375" style="280" customWidth="1"/>
    <col min="3075" max="3075" width="9.44140625" style="280" customWidth="1"/>
    <col min="3076" max="3076" width="9.33203125" style="280"/>
    <col min="3077" max="3077" width="13.109375" style="280" customWidth="1"/>
    <col min="3078" max="3079" width="12.6640625" style="280" customWidth="1"/>
    <col min="3080" max="3080" width="53.77734375" style="280" customWidth="1"/>
    <col min="3081" max="3081" width="11.77734375" style="280" bestFit="1" customWidth="1"/>
    <col min="3082" max="3328" width="9.33203125" style="280"/>
    <col min="3329" max="3329" width="8" style="280" customWidth="1"/>
    <col min="3330" max="3330" width="28.109375" style="280" customWidth="1"/>
    <col min="3331" max="3331" width="9.44140625" style="280" customWidth="1"/>
    <col min="3332" max="3332" width="9.33203125" style="280"/>
    <col min="3333" max="3333" width="13.109375" style="280" customWidth="1"/>
    <col min="3334" max="3335" width="12.6640625" style="280" customWidth="1"/>
    <col min="3336" max="3336" width="53.77734375" style="280" customWidth="1"/>
    <col min="3337" max="3337" width="11.77734375" style="280" bestFit="1" customWidth="1"/>
    <col min="3338" max="3584" width="9.33203125" style="280"/>
    <col min="3585" max="3585" width="8" style="280" customWidth="1"/>
    <col min="3586" max="3586" width="28.109375" style="280" customWidth="1"/>
    <col min="3587" max="3587" width="9.44140625" style="280" customWidth="1"/>
    <col min="3588" max="3588" width="9.33203125" style="280"/>
    <col min="3589" max="3589" width="13.109375" style="280" customWidth="1"/>
    <col min="3590" max="3591" width="12.6640625" style="280" customWidth="1"/>
    <col min="3592" max="3592" width="53.77734375" style="280" customWidth="1"/>
    <col min="3593" max="3593" width="11.77734375" style="280" bestFit="1" customWidth="1"/>
    <col min="3594" max="3840" width="9.33203125" style="280"/>
    <col min="3841" max="3841" width="8" style="280" customWidth="1"/>
    <col min="3842" max="3842" width="28.109375" style="280" customWidth="1"/>
    <col min="3843" max="3843" width="9.44140625" style="280" customWidth="1"/>
    <col min="3844" max="3844" width="9.33203125" style="280"/>
    <col min="3845" max="3845" width="13.109375" style="280" customWidth="1"/>
    <col min="3846" max="3847" width="12.6640625" style="280" customWidth="1"/>
    <col min="3848" max="3848" width="53.77734375" style="280" customWidth="1"/>
    <col min="3849" max="3849" width="11.77734375" style="280" bestFit="1" customWidth="1"/>
    <col min="3850" max="4096" width="9.33203125" style="280"/>
    <col min="4097" max="4097" width="8" style="280" customWidth="1"/>
    <col min="4098" max="4098" width="28.109375" style="280" customWidth="1"/>
    <col min="4099" max="4099" width="9.44140625" style="280" customWidth="1"/>
    <col min="4100" max="4100" width="9.33203125" style="280"/>
    <col min="4101" max="4101" width="13.109375" style="280" customWidth="1"/>
    <col min="4102" max="4103" width="12.6640625" style="280" customWidth="1"/>
    <col min="4104" max="4104" width="53.77734375" style="280" customWidth="1"/>
    <col min="4105" max="4105" width="11.77734375" style="280" bestFit="1" customWidth="1"/>
    <col min="4106" max="4352" width="9.33203125" style="280"/>
    <col min="4353" max="4353" width="8" style="280" customWidth="1"/>
    <col min="4354" max="4354" width="28.109375" style="280" customWidth="1"/>
    <col min="4355" max="4355" width="9.44140625" style="280" customWidth="1"/>
    <col min="4356" max="4356" width="9.33203125" style="280"/>
    <col min="4357" max="4357" width="13.109375" style="280" customWidth="1"/>
    <col min="4358" max="4359" width="12.6640625" style="280" customWidth="1"/>
    <col min="4360" max="4360" width="53.77734375" style="280" customWidth="1"/>
    <col min="4361" max="4361" width="11.77734375" style="280" bestFit="1" customWidth="1"/>
    <col min="4362" max="4608" width="9.33203125" style="280"/>
    <col min="4609" max="4609" width="8" style="280" customWidth="1"/>
    <col min="4610" max="4610" width="28.109375" style="280" customWidth="1"/>
    <col min="4611" max="4611" width="9.44140625" style="280" customWidth="1"/>
    <col min="4612" max="4612" width="9.33203125" style="280"/>
    <col min="4613" max="4613" width="13.109375" style="280" customWidth="1"/>
    <col min="4614" max="4615" width="12.6640625" style="280" customWidth="1"/>
    <col min="4616" max="4616" width="53.77734375" style="280" customWidth="1"/>
    <col min="4617" max="4617" width="11.77734375" style="280" bestFit="1" customWidth="1"/>
    <col min="4618" max="4864" width="9.33203125" style="280"/>
    <col min="4865" max="4865" width="8" style="280" customWidth="1"/>
    <col min="4866" max="4866" width="28.109375" style="280" customWidth="1"/>
    <col min="4867" max="4867" width="9.44140625" style="280" customWidth="1"/>
    <col min="4868" max="4868" width="9.33203125" style="280"/>
    <col min="4869" max="4869" width="13.109375" style="280" customWidth="1"/>
    <col min="4870" max="4871" width="12.6640625" style="280" customWidth="1"/>
    <col min="4872" max="4872" width="53.77734375" style="280" customWidth="1"/>
    <col min="4873" max="4873" width="11.77734375" style="280" bestFit="1" customWidth="1"/>
    <col min="4874" max="5120" width="9.33203125" style="280"/>
    <col min="5121" max="5121" width="8" style="280" customWidth="1"/>
    <col min="5122" max="5122" width="28.109375" style="280" customWidth="1"/>
    <col min="5123" max="5123" width="9.44140625" style="280" customWidth="1"/>
    <col min="5124" max="5124" width="9.33203125" style="280"/>
    <col min="5125" max="5125" width="13.109375" style="280" customWidth="1"/>
    <col min="5126" max="5127" width="12.6640625" style="280" customWidth="1"/>
    <col min="5128" max="5128" width="53.77734375" style="280" customWidth="1"/>
    <col min="5129" max="5129" width="11.77734375" style="280" bestFit="1" customWidth="1"/>
    <col min="5130" max="5376" width="9.33203125" style="280"/>
    <col min="5377" max="5377" width="8" style="280" customWidth="1"/>
    <col min="5378" max="5378" width="28.109375" style="280" customWidth="1"/>
    <col min="5379" max="5379" width="9.44140625" style="280" customWidth="1"/>
    <col min="5380" max="5380" width="9.33203125" style="280"/>
    <col min="5381" max="5381" width="13.109375" style="280" customWidth="1"/>
    <col min="5382" max="5383" width="12.6640625" style="280" customWidth="1"/>
    <col min="5384" max="5384" width="53.77734375" style="280" customWidth="1"/>
    <col min="5385" max="5385" width="11.77734375" style="280" bestFit="1" customWidth="1"/>
    <col min="5386" max="5632" width="9.33203125" style="280"/>
    <col min="5633" max="5633" width="8" style="280" customWidth="1"/>
    <col min="5634" max="5634" width="28.109375" style="280" customWidth="1"/>
    <col min="5635" max="5635" width="9.44140625" style="280" customWidth="1"/>
    <col min="5636" max="5636" width="9.33203125" style="280"/>
    <col min="5637" max="5637" width="13.109375" style="280" customWidth="1"/>
    <col min="5638" max="5639" width="12.6640625" style="280" customWidth="1"/>
    <col min="5640" max="5640" width="53.77734375" style="280" customWidth="1"/>
    <col min="5641" max="5641" width="11.77734375" style="280" bestFit="1" customWidth="1"/>
    <col min="5642" max="5888" width="9.33203125" style="280"/>
    <col min="5889" max="5889" width="8" style="280" customWidth="1"/>
    <col min="5890" max="5890" width="28.109375" style="280" customWidth="1"/>
    <col min="5891" max="5891" width="9.44140625" style="280" customWidth="1"/>
    <col min="5892" max="5892" width="9.33203125" style="280"/>
    <col min="5893" max="5893" width="13.109375" style="280" customWidth="1"/>
    <col min="5894" max="5895" width="12.6640625" style="280" customWidth="1"/>
    <col min="5896" max="5896" width="53.77734375" style="280" customWidth="1"/>
    <col min="5897" max="5897" width="11.77734375" style="280" bestFit="1" customWidth="1"/>
    <col min="5898" max="6144" width="9.33203125" style="280"/>
    <col min="6145" max="6145" width="8" style="280" customWidth="1"/>
    <col min="6146" max="6146" width="28.109375" style="280" customWidth="1"/>
    <col min="6147" max="6147" width="9.44140625" style="280" customWidth="1"/>
    <col min="6148" max="6148" width="9.33203125" style="280"/>
    <col min="6149" max="6149" width="13.109375" style="280" customWidth="1"/>
    <col min="6150" max="6151" width="12.6640625" style="280" customWidth="1"/>
    <col min="6152" max="6152" width="53.77734375" style="280" customWidth="1"/>
    <col min="6153" max="6153" width="11.77734375" style="280" bestFit="1" customWidth="1"/>
    <col min="6154" max="6400" width="9.33203125" style="280"/>
    <col min="6401" max="6401" width="8" style="280" customWidth="1"/>
    <col min="6402" max="6402" width="28.109375" style="280" customWidth="1"/>
    <col min="6403" max="6403" width="9.44140625" style="280" customWidth="1"/>
    <col min="6404" max="6404" width="9.33203125" style="280"/>
    <col min="6405" max="6405" width="13.109375" style="280" customWidth="1"/>
    <col min="6406" max="6407" width="12.6640625" style="280" customWidth="1"/>
    <col min="6408" max="6408" width="53.77734375" style="280" customWidth="1"/>
    <col min="6409" max="6409" width="11.77734375" style="280" bestFit="1" customWidth="1"/>
    <col min="6410" max="6656" width="9.33203125" style="280"/>
    <col min="6657" max="6657" width="8" style="280" customWidth="1"/>
    <col min="6658" max="6658" width="28.109375" style="280" customWidth="1"/>
    <col min="6659" max="6659" width="9.44140625" style="280" customWidth="1"/>
    <col min="6660" max="6660" width="9.33203125" style="280"/>
    <col min="6661" max="6661" width="13.109375" style="280" customWidth="1"/>
    <col min="6662" max="6663" width="12.6640625" style="280" customWidth="1"/>
    <col min="6664" max="6664" width="53.77734375" style="280" customWidth="1"/>
    <col min="6665" max="6665" width="11.77734375" style="280" bestFit="1" customWidth="1"/>
    <col min="6666" max="6912" width="9.33203125" style="280"/>
    <col min="6913" max="6913" width="8" style="280" customWidth="1"/>
    <col min="6914" max="6914" width="28.109375" style="280" customWidth="1"/>
    <col min="6915" max="6915" width="9.44140625" style="280" customWidth="1"/>
    <col min="6916" max="6916" width="9.33203125" style="280"/>
    <col min="6917" max="6917" width="13.109375" style="280" customWidth="1"/>
    <col min="6918" max="6919" width="12.6640625" style="280" customWidth="1"/>
    <col min="6920" max="6920" width="53.77734375" style="280" customWidth="1"/>
    <col min="6921" max="6921" width="11.77734375" style="280" bestFit="1" customWidth="1"/>
    <col min="6922" max="7168" width="9.33203125" style="280"/>
    <col min="7169" max="7169" width="8" style="280" customWidth="1"/>
    <col min="7170" max="7170" width="28.109375" style="280" customWidth="1"/>
    <col min="7171" max="7171" width="9.44140625" style="280" customWidth="1"/>
    <col min="7172" max="7172" width="9.33203125" style="280"/>
    <col min="7173" max="7173" width="13.109375" style="280" customWidth="1"/>
    <col min="7174" max="7175" width="12.6640625" style="280" customWidth="1"/>
    <col min="7176" max="7176" width="53.77734375" style="280" customWidth="1"/>
    <col min="7177" max="7177" width="11.77734375" style="280" bestFit="1" customWidth="1"/>
    <col min="7178" max="7424" width="9.33203125" style="280"/>
    <col min="7425" max="7425" width="8" style="280" customWidth="1"/>
    <col min="7426" max="7426" width="28.109375" style="280" customWidth="1"/>
    <col min="7427" max="7427" width="9.44140625" style="280" customWidth="1"/>
    <col min="7428" max="7428" width="9.33203125" style="280"/>
    <col min="7429" max="7429" width="13.109375" style="280" customWidth="1"/>
    <col min="7430" max="7431" width="12.6640625" style="280" customWidth="1"/>
    <col min="7432" max="7432" width="53.77734375" style="280" customWidth="1"/>
    <col min="7433" max="7433" width="11.77734375" style="280" bestFit="1" customWidth="1"/>
    <col min="7434" max="7680" width="9.33203125" style="280"/>
    <col min="7681" max="7681" width="8" style="280" customWidth="1"/>
    <col min="7682" max="7682" width="28.109375" style="280" customWidth="1"/>
    <col min="7683" max="7683" width="9.44140625" style="280" customWidth="1"/>
    <col min="7684" max="7684" width="9.33203125" style="280"/>
    <col min="7685" max="7685" width="13.109375" style="280" customWidth="1"/>
    <col min="7686" max="7687" width="12.6640625" style="280" customWidth="1"/>
    <col min="7688" max="7688" width="53.77734375" style="280" customWidth="1"/>
    <col min="7689" max="7689" width="11.77734375" style="280" bestFit="1" customWidth="1"/>
    <col min="7690" max="7936" width="9.33203125" style="280"/>
    <col min="7937" max="7937" width="8" style="280" customWidth="1"/>
    <col min="7938" max="7938" width="28.109375" style="280" customWidth="1"/>
    <col min="7939" max="7939" width="9.44140625" style="280" customWidth="1"/>
    <col min="7940" max="7940" width="9.33203125" style="280"/>
    <col min="7941" max="7941" width="13.109375" style="280" customWidth="1"/>
    <col min="7942" max="7943" width="12.6640625" style="280" customWidth="1"/>
    <col min="7944" max="7944" width="53.77734375" style="280" customWidth="1"/>
    <col min="7945" max="7945" width="11.77734375" style="280" bestFit="1" customWidth="1"/>
    <col min="7946" max="8192" width="9.33203125" style="280"/>
    <col min="8193" max="8193" width="8" style="280" customWidth="1"/>
    <col min="8194" max="8194" width="28.109375" style="280" customWidth="1"/>
    <col min="8195" max="8195" width="9.44140625" style="280" customWidth="1"/>
    <col min="8196" max="8196" width="9.33203125" style="280"/>
    <col min="8197" max="8197" width="13.109375" style="280" customWidth="1"/>
    <col min="8198" max="8199" width="12.6640625" style="280" customWidth="1"/>
    <col min="8200" max="8200" width="53.77734375" style="280" customWidth="1"/>
    <col min="8201" max="8201" width="11.77734375" style="280" bestFit="1" customWidth="1"/>
    <col min="8202" max="8448" width="9.33203125" style="280"/>
    <col min="8449" max="8449" width="8" style="280" customWidth="1"/>
    <col min="8450" max="8450" width="28.109375" style="280" customWidth="1"/>
    <col min="8451" max="8451" width="9.44140625" style="280" customWidth="1"/>
    <col min="8452" max="8452" width="9.33203125" style="280"/>
    <col min="8453" max="8453" width="13.109375" style="280" customWidth="1"/>
    <col min="8454" max="8455" width="12.6640625" style="280" customWidth="1"/>
    <col min="8456" max="8456" width="53.77734375" style="280" customWidth="1"/>
    <col min="8457" max="8457" width="11.77734375" style="280" bestFit="1" customWidth="1"/>
    <col min="8458" max="8704" width="9.33203125" style="280"/>
    <col min="8705" max="8705" width="8" style="280" customWidth="1"/>
    <col min="8706" max="8706" width="28.109375" style="280" customWidth="1"/>
    <col min="8707" max="8707" width="9.44140625" style="280" customWidth="1"/>
    <col min="8708" max="8708" width="9.33203125" style="280"/>
    <col min="8709" max="8709" width="13.109375" style="280" customWidth="1"/>
    <col min="8710" max="8711" width="12.6640625" style="280" customWidth="1"/>
    <col min="8712" max="8712" width="53.77734375" style="280" customWidth="1"/>
    <col min="8713" max="8713" width="11.77734375" style="280" bestFit="1" customWidth="1"/>
    <col min="8714" max="8960" width="9.33203125" style="280"/>
    <col min="8961" max="8961" width="8" style="280" customWidth="1"/>
    <col min="8962" max="8962" width="28.109375" style="280" customWidth="1"/>
    <col min="8963" max="8963" width="9.44140625" style="280" customWidth="1"/>
    <col min="8964" max="8964" width="9.33203125" style="280"/>
    <col min="8965" max="8965" width="13.109375" style="280" customWidth="1"/>
    <col min="8966" max="8967" width="12.6640625" style="280" customWidth="1"/>
    <col min="8968" max="8968" width="53.77734375" style="280" customWidth="1"/>
    <col min="8969" max="8969" width="11.77734375" style="280" bestFit="1" customWidth="1"/>
    <col min="8970" max="9216" width="9.33203125" style="280"/>
    <col min="9217" max="9217" width="8" style="280" customWidth="1"/>
    <col min="9218" max="9218" width="28.109375" style="280" customWidth="1"/>
    <col min="9219" max="9219" width="9.44140625" style="280" customWidth="1"/>
    <col min="9220" max="9220" width="9.33203125" style="280"/>
    <col min="9221" max="9221" width="13.109375" style="280" customWidth="1"/>
    <col min="9222" max="9223" width="12.6640625" style="280" customWidth="1"/>
    <col min="9224" max="9224" width="53.77734375" style="280" customWidth="1"/>
    <col min="9225" max="9225" width="11.77734375" style="280" bestFit="1" customWidth="1"/>
    <col min="9226" max="9472" width="9.33203125" style="280"/>
    <col min="9473" max="9473" width="8" style="280" customWidth="1"/>
    <col min="9474" max="9474" width="28.109375" style="280" customWidth="1"/>
    <col min="9475" max="9475" width="9.44140625" style="280" customWidth="1"/>
    <col min="9476" max="9476" width="9.33203125" style="280"/>
    <col min="9477" max="9477" width="13.109375" style="280" customWidth="1"/>
    <col min="9478" max="9479" width="12.6640625" style="280" customWidth="1"/>
    <col min="9480" max="9480" width="53.77734375" style="280" customWidth="1"/>
    <col min="9481" max="9481" width="11.77734375" style="280" bestFit="1" customWidth="1"/>
    <col min="9482" max="9728" width="9.33203125" style="280"/>
    <col min="9729" max="9729" width="8" style="280" customWidth="1"/>
    <col min="9730" max="9730" width="28.109375" style="280" customWidth="1"/>
    <col min="9731" max="9731" width="9.44140625" style="280" customWidth="1"/>
    <col min="9732" max="9732" width="9.33203125" style="280"/>
    <col min="9733" max="9733" width="13.109375" style="280" customWidth="1"/>
    <col min="9734" max="9735" width="12.6640625" style="280" customWidth="1"/>
    <col min="9736" max="9736" width="53.77734375" style="280" customWidth="1"/>
    <col min="9737" max="9737" width="11.77734375" style="280" bestFit="1" customWidth="1"/>
    <col min="9738" max="9984" width="9.33203125" style="280"/>
    <col min="9985" max="9985" width="8" style="280" customWidth="1"/>
    <col min="9986" max="9986" width="28.109375" style="280" customWidth="1"/>
    <col min="9987" max="9987" width="9.44140625" style="280" customWidth="1"/>
    <col min="9988" max="9988" width="9.33203125" style="280"/>
    <col min="9989" max="9989" width="13.109375" style="280" customWidth="1"/>
    <col min="9990" max="9991" width="12.6640625" style="280" customWidth="1"/>
    <col min="9992" max="9992" width="53.77734375" style="280" customWidth="1"/>
    <col min="9993" max="9993" width="11.77734375" style="280" bestFit="1" customWidth="1"/>
    <col min="9994" max="10240" width="9.33203125" style="280"/>
    <col min="10241" max="10241" width="8" style="280" customWidth="1"/>
    <col min="10242" max="10242" width="28.109375" style="280" customWidth="1"/>
    <col min="10243" max="10243" width="9.44140625" style="280" customWidth="1"/>
    <col min="10244" max="10244" width="9.33203125" style="280"/>
    <col min="10245" max="10245" width="13.109375" style="280" customWidth="1"/>
    <col min="10246" max="10247" width="12.6640625" style="280" customWidth="1"/>
    <col min="10248" max="10248" width="53.77734375" style="280" customWidth="1"/>
    <col min="10249" max="10249" width="11.77734375" style="280" bestFit="1" customWidth="1"/>
    <col min="10250" max="10496" width="9.33203125" style="280"/>
    <col min="10497" max="10497" width="8" style="280" customWidth="1"/>
    <col min="10498" max="10498" width="28.109375" style="280" customWidth="1"/>
    <col min="10499" max="10499" width="9.44140625" style="280" customWidth="1"/>
    <col min="10500" max="10500" width="9.33203125" style="280"/>
    <col min="10501" max="10501" width="13.109375" style="280" customWidth="1"/>
    <col min="10502" max="10503" width="12.6640625" style="280" customWidth="1"/>
    <col min="10504" max="10504" width="53.77734375" style="280" customWidth="1"/>
    <col min="10505" max="10505" width="11.77734375" style="280" bestFit="1" customWidth="1"/>
    <col min="10506" max="10752" width="9.33203125" style="280"/>
    <col min="10753" max="10753" width="8" style="280" customWidth="1"/>
    <col min="10754" max="10754" width="28.109375" style="280" customWidth="1"/>
    <col min="10755" max="10755" width="9.44140625" style="280" customWidth="1"/>
    <col min="10756" max="10756" width="9.33203125" style="280"/>
    <col min="10757" max="10757" width="13.109375" style="280" customWidth="1"/>
    <col min="10758" max="10759" width="12.6640625" style="280" customWidth="1"/>
    <col min="10760" max="10760" width="53.77734375" style="280" customWidth="1"/>
    <col min="10761" max="10761" width="11.77734375" style="280" bestFit="1" customWidth="1"/>
    <col min="10762" max="11008" width="9.33203125" style="280"/>
    <col min="11009" max="11009" width="8" style="280" customWidth="1"/>
    <col min="11010" max="11010" width="28.109375" style="280" customWidth="1"/>
    <col min="11011" max="11011" width="9.44140625" style="280" customWidth="1"/>
    <col min="11012" max="11012" width="9.33203125" style="280"/>
    <col min="11013" max="11013" width="13.109375" style="280" customWidth="1"/>
    <col min="11014" max="11015" width="12.6640625" style="280" customWidth="1"/>
    <col min="11016" max="11016" width="53.77734375" style="280" customWidth="1"/>
    <col min="11017" max="11017" width="11.77734375" style="280" bestFit="1" customWidth="1"/>
    <col min="11018" max="11264" width="9.33203125" style="280"/>
    <col min="11265" max="11265" width="8" style="280" customWidth="1"/>
    <col min="11266" max="11266" width="28.109375" style="280" customWidth="1"/>
    <col min="11267" max="11267" width="9.44140625" style="280" customWidth="1"/>
    <col min="11268" max="11268" width="9.33203125" style="280"/>
    <col min="11269" max="11269" width="13.109375" style="280" customWidth="1"/>
    <col min="11270" max="11271" width="12.6640625" style="280" customWidth="1"/>
    <col min="11272" max="11272" width="53.77734375" style="280" customWidth="1"/>
    <col min="11273" max="11273" width="11.77734375" style="280" bestFit="1" customWidth="1"/>
    <col min="11274" max="11520" width="9.33203125" style="280"/>
    <col min="11521" max="11521" width="8" style="280" customWidth="1"/>
    <col min="11522" max="11522" width="28.109375" style="280" customWidth="1"/>
    <col min="11523" max="11523" width="9.44140625" style="280" customWidth="1"/>
    <col min="11524" max="11524" width="9.33203125" style="280"/>
    <col min="11525" max="11525" width="13.109375" style="280" customWidth="1"/>
    <col min="11526" max="11527" width="12.6640625" style="280" customWidth="1"/>
    <col min="11528" max="11528" width="53.77734375" style="280" customWidth="1"/>
    <col min="11529" max="11529" width="11.77734375" style="280" bestFit="1" customWidth="1"/>
    <col min="11530" max="11776" width="9.33203125" style="280"/>
    <col min="11777" max="11777" width="8" style="280" customWidth="1"/>
    <col min="11778" max="11778" width="28.109375" style="280" customWidth="1"/>
    <col min="11779" max="11779" width="9.44140625" style="280" customWidth="1"/>
    <col min="11780" max="11780" width="9.33203125" style="280"/>
    <col min="11781" max="11781" width="13.109375" style="280" customWidth="1"/>
    <col min="11782" max="11783" width="12.6640625" style="280" customWidth="1"/>
    <col min="11784" max="11784" width="53.77734375" style="280" customWidth="1"/>
    <col min="11785" max="11785" width="11.77734375" style="280" bestFit="1" customWidth="1"/>
    <col min="11786" max="12032" width="9.33203125" style="280"/>
    <col min="12033" max="12033" width="8" style="280" customWidth="1"/>
    <col min="12034" max="12034" width="28.109375" style="280" customWidth="1"/>
    <col min="12035" max="12035" width="9.44140625" style="280" customWidth="1"/>
    <col min="12036" max="12036" width="9.33203125" style="280"/>
    <col min="12037" max="12037" width="13.109375" style="280" customWidth="1"/>
    <col min="12038" max="12039" width="12.6640625" style="280" customWidth="1"/>
    <col min="12040" max="12040" width="53.77734375" style="280" customWidth="1"/>
    <col min="12041" max="12041" width="11.77734375" style="280" bestFit="1" customWidth="1"/>
    <col min="12042" max="12288" width="9.33203125" style="280"/>
    <col min="12289" max="12289" width="8" style="280" customWidth="1"/>
    <col min="12290" max="12290" width="28.109375" style="280" customWidth="1"/>
    <col min="12291" max="12291" width="9.44140625" style="280" customWidth="1"/>
    <col min="12292" max="12292" width="9.33203125" style="280"/>
    <col min="12293" max="12293" width="13.109375" style="280" customWidth="1"/>
    <col min="12294" max="12295" width="12.6640625" style="280" customWidth="1"/>
    <col min="12296" max="12296" width="53.77734375" style="280" customWidth="1"/>
    <col min="12297" max="12297" width="11.77734375" style="280" bestFit="1" customWidth="1"/>
    <col min="12298" max="12544" width="9.33203125" style="280"/>
    <col min="12545" max="12545" width="8" style="280" customWidth="1"/>
    <col min="12546" max="12546" width="28.109375" style="280" customWidth="1"/>
    <col min="12547" max="12547" width="9.44140625" style="280" customWidth="1"/>
    <col min="12548" max="12548" width="9.33203125" style="280"/>
    <col min="12549" max="12549" width="13.109375" style="280" customWidth="1"/>
    <col min="12550" max="12551" width="12.6640625" style="280" customWidth="1"/>
    <col min="12552" max="12552" width="53.77734375" style="280" customWidth="1"/>
    <col min="12553" max="12553" width="11.77734375" style="280" bestFit="1" customWidth="1"/>
    <col min="12554" max="12800" width="9.33203125" style="280"/>
    <col min="12801" max="12801" width="8" style="280" customWidth="1"/>
    <col min="12802" max="12802" width="28.109375" style="280" customWidth="1"/>
    <col min="12803" max="12803" width="9.44140625" style="280" customWidth="1"/>
    <col min="12804" max="12804" width="9.33203125" style="280"/>
    <col min="12805" max="12805" width="13.109375" style="280" customWidth="1"/>
    <col min="12806" max="12807" width="12.6640625" style="280" customWidth="1"/>
    <col min="12808" max="12808" width="53.77734375" style="280" customWidth="1"/>
    <col min="12809" max="12809" width="11.77734375" style="280" bestFit="1" customWidth="1"/>
    <col min="12810" max="13056" width="9.33203125" style="280"/>
    <col min="13057" max="13057" width="8" style="280" customWidth="1"/>
    <col min="13058" max="13058" width="28.109375" style="280" customWidth="1"/>
    <col min="13059" max="13059" width="9.44140625" style="280" customWidth="1"/>
    <col min="13060" max="13060" width="9.33203125" style="280"/>
    <col min="13061" max="13061" width="13.109375" style="280" customWidth="1"/>
    <col min="13062" max="13063" width="12.6640625" style="280" customWidth="1"/>
    <col min="13064" max="13064" width="53.77734375" style="280" customWidth="1"/>
    <col min="13065" max="13065" width="11.77734375" style="280" bestFit="1" customWidth="1"/>
    <col min="13066" max="13312" width="9.33203125" style="280"/>
    <col min="13313" max="13313" width="8" style="280" customWidth="1"/>
    <col min="13314" max="13314" width="28.109375" style="280" customWidth="1"/>
    <col min="13315" max="13315" width="9.44140625" style="280" customWidth="1"/>
    <col min="13316" max="13316" width="9.33203125" style="280"/>
    <col min="13317" max="13317" width="13.109375" style="280" customWidth="1"/>
    <col min="13318" max="13319" width="12.6640625" style="280" customWidth="1"/>
    <col min="13320" max="13320" width="53.77734375" style="280" customWidth="1"/>
    <col min="13321" max="13321" width="11.77734375" style="280" bestFit="1" customWidth="1"/>
    <col min="13322" max="13568" width="9.33203125" style="280"/>
    <col min="13569" max="13569" width="8" style="280" customWidth="1"/>
    <col min="13570" max="13570" width="28.109375" style="280" customWidth="1"/>
    <col min="13571" max="13571" width="9.44140625" style="280" customWidth="1"/>
    <col min="13572" max="13572" width="9.33203125" style="280"/>
    <col min="13573" max="13573" width="13.109375" style="280" customWidth="1"/>
    <col min="13574" max="13575" width="12.6640625" style="280" customWidth="1"/>
    <col min="13576" max="13576" width="53.77734375" style="280" customWidth="1"/>
    <col min="13577" max="13577" width="11.77734375" style="280" bestFit="1" customWidth="1"/>
    <col min="13578" max="13824" width="9.33203125" style="280"/>
    <col min="13825" max="13825" width="8" style="280" customWidth="1"/>
    <col min="13826" max="13826" width="28.109375" style="280" customWidth="1"/>
    <col min="13827" max="13827" width="9.44140625" style="280" customWidth="1"/>
    <col min="13828" max="13828" width="9.33203125" style="280"/>
    <col min="13829" max="13829" width="13.109375" style="280" customWidth="1"/>
    <col min="13830" max="13831" width="12.6640625" style="280" customWidth="1"/>
    <col min="13832" max="13832" width="53.77734375" style="280" customWidth="1"/>
    <col min="13833" max="13833" width="11.77734375" style="280" bestFit="1" customWidth="1"/>
    <col min="13834" max="14080" width="9.33203125" style="280"/>
    <col min="14081" max="14081" width="8" style="280" customWidth="1"/>
    <col min="14082" max="14082" width="28.109375" style="280" customWidth="1"/>
    <col min="14083" max="14083" width="9.44140625" style="280" customWidth="1"/>
    <col min="14084" max="14084" width="9.33203125" style="280"/>
    <col min="14085" max="14085" width="13.109375" style="280" customWidth="1"/>
    <col min="14086" max="14087" width="12.6640625" style="280" customWidth="1"/>
    <col min="14088" max="14088" width="53.77734375" style="280" customWidth="1"/>
    <col min="14089" max="14089" width="11.77734375" style="280" bestFit="1" customWidth="1"/>
    <col min="14090" max="14336" width="9.33203125" style="280"/>
    <col min="14337" max="14337" width="8" style="280" customWidth="1"/>
    <col min="14338" max="14338" width="28.109375" style="280" customWidth="1"/>
    <col min="14339" max="14339" width="9.44140625" style="280" customWidth="1"/>
    <col min="14340" max="14340" width="9.33203125" style="280"/>
    <col min="14341" max="14341" width="13.109375" style="280" customWidth="1"/>
    <col min="14342" max="14343" width="12.6640625" style="280" customWidth="1"/>
    <col min="14344" max="14344" width="53.77734375" style="280" customWidth="1"/>
    <col min="14345" max="14345" width="11.77734375" style="280" bestFit="1" customWidth="1"/>
    <col min="14346" max="14592" width="9.33203125" style="280"/>
    <col min="14593" max="14593" width="8" style="280" customWidth="1"/>
    <col min="14594" max="14594" width="28.109375" style="280" customWidth="1"/>
    <col min="14595" max="14595" width="9.44140625" style="280" customWidth="1"/>
    <col min="14596" max="14596" width="9.33203125" style="280"/>
    <col min="14597" max="14597" width="13.109375" style="280" customWidth="1"/>
    <col min="14598" max="14599" width="12.6640625" style="280" customWidth="1"/>
    <col min="14600" max="14600" width="53.77734375" style="280" customWidth="1"/>
    <col min="14601" max="14601" width="11.77734375" style="280" bestFit="1" customWidth="1"/>
    <col min="14602" max="14848" width="9.33203125" style="280"/>
    <col min="14849" max="14849" width="8" style="280" customWidth="1"/>
    <col min="14850" max="14850" width="28.109375" style="280" customWidth="1"/>
    <col min="14851" max="14851" width="9.44140625" style="280" customWidth="1"/>
    <col min="14852" max="14852" width="9.33203125" style="280"/>
    <col min="14853" max="14853" width="13.109375" style="280" customWidth="1"/>
    <col min="14854" max="14855" width="12.6640625" style="280" customWidth="1"/>
    <col min="14856" max="14856" width="53.77734375" style="280" customWidth="1"/>
    <col min="14857" max="14857" width="11.77734375" style="280" bestFit="1" customWidth="1"/>
    <col min="14858" max="15104" width="9.33203125" style="280"/>
    <col min="15105" max="15105" width="8" style="280" customWidth="1"/>
    <col min="15106" max="15106" width="28.109375" style="280" customWidth="1"/>
    <col min="15107" max="15107" width="9.44140625" style="280" customWidth="1"/>
    <col min="15108" max="15108" width="9.33203125" style="280"/>
    <col min="15109" max="15109" width="13.109375" style="280" customWidth="1"/>
    <col min="15110" max="15111" width="12.6640625" style="280" customWidth="1"/>
    <col min="15112" max="15112" width="53.77734375" style="280" customWidth="1"/>
    <col min="15113" max="15113" width="11.77734375" style="280" bestFit="1" customWidth="1"/>
    <col min="15114" max="15360" width="9.33203125" style="280"/>
    <col min="15361" max="15361" width="8" style="280" customWidth="1"/>
    <col min="15362" max="15362" width="28.109375" style="280" customWidth="1"/>
    <col min="15363" max="15363" width="9.44140625" style="280" customWidth="1"/>
    <col min="15364" max="15364" width="9.33203125" style="280"/>
    <col min="15365" max="15365" width="13.109375" style="280" customWidth="1"/>
    <col min="15366" max="15367" width="12.6640625" style="280" customWidth="1"/>
    <col min="15368" max="15368" width="53.77734375" style="280" customWidth="1"/>
    <col min="15369" max="15369" width="11.77734375" style="280" bestFit="1" customWidth="1"/>
    <col min="15370" max="15616" width="9.33203125" style="280"/>
    <col min="15617" max="15617" width="8" style="280" customWidth="1"/>
    <col min="15618" max="15618" width="28.109375" style="280" customWidth="1"/>
    <col min="15619" max="15619" width="9.44140625" style="280" customWidth="1"/>
    <col min="15620" max="15620" width="9.33203125" style="280"/>
    <col min="15621" max="15621" width="13.109375" style="280" customWidth="1"/>
    <col min="15622" max="15623" width="12.6640625" style="280" customWidth="1"/>
    <col min="15624" max="15624" width="53.77734375" style="280" customWidth="1"/>
    <col min="15625" max="15625" width="11.77734375" style="280" bestFit="1" customWidth="1"/>
    <col min="15626" max="15872" width="9.33203125" style="280"/>
    <col min="15873" max="15873" width="8" style="280" customWidth="1"/>
    <col min="15874" max="15874" width="28.109375" style="280" customWidth="1"/>
    <col min="15875" max="15875" width="9.44140625" style="280" customWidth="1"/>
    <col min="15876" max="15876" width="9.33203125" style="280"/>
    <col min="15877" max="15877" width="13.109375" style="280" customWidth="1"/>
    <col min="15878" max="15879" width="12.6640625" style="280" customWidth="1"/>
    <col min="15880" max="15880" width="53.77734375" style="280" customWidth="1"/>
    <col min="15881" max="15881" width="11.77734375" style="280" bestFit="1" customWidth="1"/>
    <col min="15882" max="16128" width="9.33203125" style="280"/>
    <col min="16129" max="16129" width="8" style="280" customWidth="1"/>
    <col min="16130" max="16130" width="28.109375" style="280" customWidth="1"/>
    <col min="16131" max="16131" width="9.44140625" style="280" customWidth="1"/>
    <col min="16132" max="16132" width="9.33203125" style="280"/>
    <col min="16133" max="16133" width="13.109375" style="280" customWidth="1"/>
    <col min="16134" max="16135" width="12.6640625" style="280" customWidth="1"/>
    <col min="16136" max="16136" width="53.77734375" style="280" customWidth="1"/>
    <col min="16137" max="16137" width="11.77734375" style="280" bestFit="1" customWidth="1"/>
    <col min="16138" max="16384" width="9.33203125" style="280"/>
  </cols>
  <sheetData>
    <row r="1" spans="2:11" s="498" customFormat="1" ht="21.6" thickBot="1">
      <c r="B1" s="2059" t="s">
        <v>997</v>
      </c>
      <c r="C1" s="2060"/>
      <c r="D1" s="2060"/>
      <c r="E1" s="2060"/>
      <c r="F1" s="2061"/>
      <c r="G1" s="2061"/>
    </row>
    <row r="2" spans="2:11" s="141" customFormat="1" ht="43.8" thickBot="1">
      <c r="B2" s="836" t="s">
        <v>263</v>
      </c>
      <c r="C2" s="837">
        <v>2021</v>
      </c>
      <c r="D2" s="837">
        <v>2022</v>
      </c>
      <c r="E2" s="838">
        <v>2023</v>
      </c>
      <c r="F2" s="837" t="s">
        <v>1195</v>
      </c>
      <c r="G2" s="1299" t="s">
        <v>1194</v>
      </c>
    </row>
    <row r="3" spans="2:11" s="141" customFormat="1" ht="15" customHeight="1">
      <c r="B3" s="1189" t="s">
        <v>453</v>
      </c>
      <c r="C3" s="1884" t="s">
        <v>644</v>
      </c>
      <c r="D3" s="1885"/>
      <c r="E3" s="1885"/>
      <c r="F3" s="1885"/>
      <c r="G3" s="1886"/>
      <c r="I3" s="141" t="s">
        <v>434</v>
      </c>
      <c r="J3" s="485"/>
      <c r="K3" s="486"/>
    </row>
    <row r="4" spans="2:11" s="141" customFormat="1" ht="15" customHeight="1">
      <c r="B4" s="530" t="s">
        <v>363</v>
      </c>
      <c r="C4" s="1300">
        <v>4.5599999999999996</v>
      </c>
      <c r="D4" s="1300">
        <v>3.5720000000000001</v>
      </c>
      <c r="E4" s="1300">
        <v>3.2679999999999998</v>
      </c>
      <c r="F4" s="1300">
        <v>3.2679999999999998</v>
      </c>
      <c r="G4" s="1300">
        <f>F4</f>
        <v>3.2679999999999998</v>
      </c>
      <c r="I4" s="141" t="s">
        <v>418</v>
      </c>
    </row>
    <row r="5" spans="2:11" s="141" customFormat="1" ht="15" customHeight="1">
      <c r="B5" s="530" t="s">
        <v>364</v>
      </c>
      <c r="C5" s="848">
        <v>280</v>
      </c>
      <c r="D5" s="848">
        <v>280</v>
      </c>
      <c r="E5" s="848">
        <v>280</v>
      </c>
      <c r="F5" s="848">
        <f>E5*1.04</f>
        <v>291.2</v>
      </c>
      <c r="G5" s="848">
        <f>F5*1.025</f>
        <v>298.47999999999996</v>
      </c>
      <c r="I5" s="141" t="s">
        <v>460</v>
      </c>
    </row>
    <row r="6" spans="2:11" s="141" customFormat="1" ht="15" customHeight="1">
      <c r="B6" s="530" t="s">
        <v>363</v>
      </c>
      <c r="C6" s="847"/>
      <c r="D6" s="847"/>
      <c r="E6" s="847"/>
      <c r="F6" s="847"/>
      <c r="G6" s="847"/>
      <c r="I6" s="141" t="s">
        <v>413</v>
      </c>
    </row>
    <row r="7" spans="2:11" s="141" customFormat="1" ht="15" customHeight="1">
      <c r="B7" s="530" t="s">
        <v>364</v>
      </c>
      <c r="C7" s="849"/>
      <c r="D7" s="849"/>
      <c r="E7" s="849"/>
      <c r="F7" s="849"/>
      <c r="G7" s="849"/>
      <c r="I7" s="141" t="s">
        <v>632</v>
      </c>
    </row>
    <row r="8" spans="2:11" s="141" customFormat="1" ht="15" customHeight="1" thickBot="1">
      <c r="B8" s="531" t="s">
        <v>368</v>
      </c>
      <c r="C8" s="487">
        <f t="shared" ref="C8" si="0">(C4*C5)+(C6*C7)</f>
        <v>1276.8</v>
      </c>
      <c r="D8" s="487">
        <f>(D4*D5)+(D6*D7)</f>
        <v>1000.16</v>
      </c>
      <c r="E8" s="487">
        <f t="shared" ref="E8:F8" si="1">(E4*E5)+(E6*E7)</f>
        <v>915.04</v>
      </c>
      <c r="F8" s="487">
        <f t="shared" si="1"/>
        <v>951.64159999999993</v>
      </c>
      <c r="G8" s="487">
        <f t="shared" ref="G8" si="2">(G4*G5)+(G6*G7)</f>
        <v>975.43263999999976</v>
      </c>
      <c r="I8" s="141" t="s">
        <v>438</v>
      </c>
    </row>
    <row r="9" spans="2:11" s="141" customFormat="1" ht="15" customHeight="1" thickTop="1">
      <c r="B9" s="1189" t="s">
        <v>454</v>
      </c>
      <c r="C9" s="1887" t="s">
        <v>644</v>
      </c>
      <c r="D9" s="1888"/>
      <c r="E9" s="1888"/>
      <c r="F9" s="1888"/>
      <c r="G9" s="1889"/>
      <c r="I9" s="141" t="s">
        <v>409</v>
      </c>
    </row>
    <row r="10" spans="2:11" s="141" customFormat="1" ht="15" customHeight="1">
      <c r="B10" s="530" t="s">
        <v>363</v>
      </c>
      <c r="C10" s="847">
        <v>2.09</v>
      </c>
      <c r="D10" s="847">
        <v>1.786</v>
      </c>
      <c r="E10" s="847">
        <v>3.0019999999999998</v>
      </c>
      <c r="F10" s="847">
        <f>E10*1.3</f>
        <v>3.9025999999999996</v>
      </c>
      <c r="G10" s="847">
        <f>F10</f>
        <v>3.9025999999999996</v>
      </c>
      <c r="I10" s="141" t="s">
        <v>417</v>
      </c>
    </row>
    <row r="11" spans="2:11" s="141" customFormat="1" ht="15" customHeight="1">
      <c r="B11" s="530" t="s">
        <v>364</v>
      </c>
      <c r="C11" s="848">
        <v>280</v>
      </c>
      <c r="D11" s="848">
        <v>280</v>
      </c>
      <c r="E11" s="848">
        <v>280.00000000000006</v>
      </c>
      <c r="F11" s="848">
        <f>E11*1.04</f>
        <v>291.20000000000005</v>
      </c>
      <c r="G11" s="848">
        <f>F11*1.025</f>
        <v>298.48</v>
      </c>
      <c r="I11" s="141" t="s">
        <v>419</v>
      </c>
    </row>
    <row r="12" spans="2:11" s="141" customFormat="1" ht="15" customHeight="1">
      <c r="B12" s="530" t="s">
        <v>363</v>
      </c>
      <c r="C12" s="847"/>
      <c r="D12" s="847"/>
      <c r="E12" s="847"/>
      <c r="F12" s="847"/>
      <c r="G12" s="847"/>
      <c r="I12" s="141" t="s">
        <v>643</v>
      </c>
    </row>
    <row r="13" spans="2:11" s="141" customFormat="1" ht="15" customHeight="1">
      <c r="B13" s="530" t="s">
        <v>364</v>
      </c>
      <c r="C13" s="849"/>
      <c r="D13" s="849"/>
      <c r="E13" s="849"/>
      <c r="F13" s="849"/>
      <c r="G13" s="849"/>
      <c r="I13" s="141" t="s">
        <v>468</v>
      </c>
    </row>
    <row r="14" spans="2:11" s="141" customFormat="1" ht="15" customHeight="1" thickBot="1">
      <c r="B14" s="531" t="s">
        <v>368</v>
      </c>
      <c r="C14" s="487">
        <f t="shared" ref="C14" si="3">(C10*C11)+(C12*C13)</f>
        <v>585.19999999999993</v>
      </c>
      <c r="D14" s="487">
        <f>(D10*D11)+(D12*D13)</f>
        <v>500.08</v>
      </c>
      <c r="E14" s="487">
        <f t="shared" ref="E14" si="4">(E10*E11)+(E12*E13)</f>
        <v>840.56000000000006</v>
      </c>
      <c r="F14" s="487">
        <f t="shared" ref="F14:G14" si="5">(F10*F11)+(F12*F13)</f>
        <v>1136.43712</v>
      </c>
      <c r="G14" s="487">
        <f t="shared" si="5"/>
        <v>1164.8480480000001</v>
      </c>
      <c r="I14" s="141" t="s">
        <v>590</v>
      </c>
    </row>
    <row r="15" spans="2:11" s="141" customFormat="1" ht="15" customHeight="1" thickTop="1">
      <c r="B15" s="1189" t="s">
        <v>454</v>
      </c>
      <c r="C15" s="1887" t="s">
        <v>970</v>
      </c>
      <c r="D15" s="1888"/>
      <c r="E15" s="1888"/>
      <c r="F15" s="1888"/>
      <c r="G15" s="1889"/>
      <c r="I15" s="141" t="s">
        <v>422</v>
      </c>
    </row>
    <row r="16" spans="2:11" s="141" customFormat="1" ht="15" customHeight="1">
      <c r="B16" s="723" t="s">
        <v>365</v>
      </c>
      <c r="C16" s="850"/>
      <c r="D16" s="850"/>
      <c r="E16" s="850">
        <v>11</v>
      </c>
      <c r="F16" s="850">
        <f>E16*1.3</f>
        <v>14.3</v>
      </c>
      <c r="G16" s="850">
        <f>F16</f>
        <v>14.3</v>
      </c>
      <c r="I16" s="253" t="s">
        <v>436</v>
      </c>
    </row>
    <row r="17" spans="2:9" s="141" customFormat="1" ht="15" customHeight="1">
      <c r="B17" s="723" t="s">
        <v>366</v>
      </c>
      <c r="C17" s="848"/>
      <c r="D17" s="848"/>
      <c r="E17" s="848">
        <v>2.1127272727272728</v>
      </c>
      <c r="F17" s="848">
        <f>E17*1.04</f>
        <v>2.1972363636363639</v>
      </c>
      <c r="G17" s="848">
        <f>F17*1.025</f>
        <v>2.2521672727272728</v>
      </c>
      <c r="I17" s="141" t="s">
        <v>410</v>
      </c>
    </row>
    <row r="18" spans="2:9" s="141" customFormat="1" ht="15" customHeight="1">
      <c r="B18" s="723" t="s">
        <v>365</v>
      </c>
      <c r="C18" s="850"/>
      <c r="D18" s="850"/>
      <c r="E18" s="850"/>
      <c r="F18" s="850"/>
      <c r="G18" s="850"/>
      <c r="I18" s="141" t="s">
        <v>631</v>
      </c>
    </row>
    <row r="19" spans="2:9" s="141" customFormat="1" ht="15" customHeight="1">
      <c r="B19" s="723" t="s">
        <v>366</v>
      </c>
      <c r="C19" s="848"/>
      <c r="D19" s="848"/>
      <c r="E19" s="848"/>
      <c r="F19" s="848"/>
      <c r="G19" s="848"/>
      <c r="I19" s="141" t="s">
        <v>604</v>
      </c>
    </row>
    <row r="20" spans="2:9" s="141" customFormat="1" ht="15" customHeight="1" thickBot="1">
      <c r="B20" s="724" t="s">
        <v>368</v>
      </c>
      <c r="C20" s="487">
        <f t="shared" ref="C20" si="6">(C16*C17)+(C18*C19)</f>
        <v>0</v>
      </c>
      <c r="D20" s="487">
        <f>(D16*D17)+(D18*D19)</f>
        <v>0</v>
      </c>
      <c r="E20" s="487">
        <f t="shared" ref="E20:F20" si="7">(E16*E17)+(E18*E19)</f>
        <v>23.240000000000002</v>
      </c>
      <c r="F20" s="487">
        <f t="shared" si="7"/>
        <v>31.420480000000005</v>
      </c>
      <c r="G20" s="487">
        <f t="shared" ref="G20" si="8">(G16*G17)+(G18*G19)</f>
        <v>32.205992000000002</v>
      </c>
      <c r="I20" s="141" t="s">
        <v>423</v>
      </c>
    </row>
    <row r="21" spans="2:9" s="141" customFormat="1" ht="15" customHeight="1" thickTop="1">
      <c r="B21" s="1214" t="s">
        <v>450</v>
      </c>
      <c r="C21" s="1878" t="s">
        <v>783</v>
      </c>
      <c r="D21" s="1879"/>
      <c r="E21" s="1879"/>
      <c r="F21" s="1879"/>
      <c r="G21" s="1880"/>
    </row>
    <row r="22" spans="2:9" ht="15" customHeight="1">
      <c r="B22" s="530" t="s">
        <v>784</v>
      </c>
      <c r="C22" s="850">
        <v>540</v>
      </c>
      <c r="D22" s="850">
        <v>216</v>
      </c>
      <c r="E22" s="850">
        <v>258</v>
      </c>
      <c r="F22" s="850">
        <f>E22*1.2</f>
        <v>309.59999999999997</v>
      </c>
      <c r="G22" s="850">
        <f>F22</f>
        <v>309.59999999999997</v>
      </c>
    </row>
    <row r="23" spans="2:9" ht="15" customHeight="1">
      <c r="B23" s="530" t="s">
        <v>785</v>
      </c>
      <c r="C23" s="848">
        <v>3.26</v>
      </c>
      <c r="D23" s="848">
        <v>3.26</v>
      </c>
      <c r="E23" s="848">
        <v>3.9096899224806201</v>
      </c>
      <c r="F23" s="848">
        <f>E23*1.04</f>
        <v>4.0660775193798449</v>
      </c>
      <c r="G23" s="848">
        <f>F23*1.025</f>
        <v>4.1677294573643406</v>
      </c>
    </row>
    <row r="24" spans="2:9" ht="15" customHeight="1">
      <c r="B24" s="530" t="s">
        <v>784</v>
      </c>
      <c r="C24" s="850"/>
      <c r="D24" s="850">
        <v>288</v>
      </c>
      <c r="E24" s="850"/>
      <c r="F24" s="850"/>
      <c r="G24" s="850"/>
    </row>
    <row r="25" spans="2:9" ht="15" customHeight="1">
      <c r="B25" s="530" t="s">
        <v>785</v>
      </c>
      <c r="C25" s="848"/>
      <c r="D25" s="848">
        <v>3.43</v>
      </c>
      <c r="E25" s="848"/>
      <c r="F25" s="848"/>
      <c r="G25" s="848"/>
    </row>
    <row r="26" spans="2:9" ht="15" customHeight="1" thickBot="1">
      <c r="B26" s="531" t="s">
        <v>368</v>
      </c>
      <c r="C26" s="487">
        <f t="shared" ref="C26" si="9">(C22*C23)+(C24*C25)</f>
        <v>1760.3999999999999</v>
      </c>
      <c r="D26" s="487">
        <f>(D22*D23)+(D24*D25)</f>
        <v>1692</v>
      </c>
      <c r="E26" s="487">
        <f t="shared" ref="E26:F26" si="10">(E22*E23)+(E24*E25)</f>
        <v>1008.6999999999999</v>
      </c>
      <c r="F26" s="487">
        <f t="shared" si="10"/>
        <v>1258.8575999999998</v>
      </c>
      <c r="G26" s="487">
        <f t="shared" ref="G26" si="11">(G22*G23)+(G24*G25)</f>
        <v>1290.3290399999996</v>
      </c>
    </row>
    <row r="27" spans="2:9" ht="15" customHeight="1" thickTop="1">
      <c r="B27" s="1214" t="s">
        <v>455</v>
      </c>
      <c r="C27" s="1878" t="s">
        <v>783</v>
      </c>
      <c r="D27" s="1879"/>
      <c r="E27" s="1879"/>
      <c r="F27" s="1879"/>
      <c r="G27" s="1880"/>
      <c r="I27" s="141"/>
    </row>
    <row r="28" spans="2:9" ht="15" customHeight="1">
      <c r="B28" s="530" t="s">
        <v>784</v>
      </c>
      <c r="C28" s="850">
        <v>240</v>
      </c>
      <c r="D28" s="850">
        <v>105</v>
      </c>
      <c r="E28" s="850">
        <v>114</v>
      </c>
      <c r="F28" s="850">
        <v>114</v>
      </c>
      <c r="G28" s="850">
        <f>F28</f>
        <v>114</v>
      </c>
      <c r="I28" s="488"/>
    </row>
    <row r="29" spans="2:9" ht="15" customHeight="1">
      <c r="B29" s="530" t="s">
        <v>785</v>
      </c>
      <c r="C29" s="848">
        <v>3.26</v>
      </c>
      <c r="D29" s="848">
        <v>3.26</v>
      </c>
      <c r="E29" s="848">
        <v>3.7789473684210524</v>
      </c>
      <c r="F29" s="848">
        <f>E29*1.04</f>
        <v>3.9301052631578948</v>
      </c>
      <c r="G29" s="848">
        <f>F29*1.025</f>
        <v>4.0283578947368417</v>
      </c>
      <c r="I29" s="141"/>
    </row>
    <row r="30" spans="2:9" ht="15" customHeight="1">
      <c r="B30" s="530" t="s">
        <v>784</v>
      </c>
      <c r="C30" s="850"/>
      <c r="D30" s="850"/>
      <c r="E30" s="850"/>
      <c r="F30" s="850"/>
      <c r="G30" s="850"/>
      <c r="I30" s="141"/>
    </row>
    <row r="31" spans="2:9" ht="15" customHeight="1">
      <c r="B31" s="530" t="s">
        <v>785</v>
      </c>
      <c r="C31" s="848"/>
      <c r="D31" s="848"/>
      <c r="E31" s="848"/>
      <c r="F31" s="848"/>
      <c r="G31" s="848"/>
      <c r="I31" s="141"/>
    </row>
    <row r="32" spans="2:9" ht="15" customHeight="1" thickBot="1">
      <c r="B32" s="531" t="s">
        <v>368</v>
      </c>
      <c r="C32" s="487">
        <f t="shared" ref="C32:F32" si="12">(C28*C29)+(C30*C31)</f>
        <v>782.4</v>
      </c>
      <c r="D32" s="487">
        <f t="shared" si="12"/>
        <v>342.29999999999995</v>
      </c>
      <c r="E32" s="487">
        <f t="shared" si="12"/>
        <v>430.79999999999995</v>
      </c>
      <c r="F32" s="487">
        <f t="shared" si="12"/>
        <v>448.03199999999998</v>
      </c>
      <c r="G32" s="487">
        <f t="shared" ref="G32" si="13">(G28*G29)+(G30*G31)</f>
        <v>459.23279999999994</v>
      </c>
    </row>
    <row r="33" spans="2:9" ht="15" customHeight="1" thickTop="1">
      <c r="B33" s="1214" t="s">
        <v>633</v>
      </c>
      <c r="C33" s="1878" t="s">
        <v>783</v>
      </c>
      <c r="D33" s="1879"/>
      <c r="E33" s="1879"/>
      <c r="F33" s="1879"/>
      <c r="G33" s="1880"/>
    </row>
    <row r="34" spans="2:9" ht="15" customHeight="1">
      <c r="B34" s="530" t="s">
        <v>784</v>
      </c>
      <c r="C34" s="850">
        <v>30</v>
      </c>
      <c r="D34" s="850">
        <v>39</v>
      </c>
      <c r="E34" s="850">
        <v>48</v>
      </c>
      <c r="F34" s="850">
        <v>48</v>
      </c>
      <c r="G34" s="850">
        <f>F34</f>
        <v>48</v>
      </c>
      <c r="I34" s="488"/>
    </row>
    <row r="35" spans="2:9" ht="15" customHeight="1">
      <c r="B35" s="530" t="s">
        <v>785</v>
      </c>
      <c r="C35" s="848">
        <v>3.26</v>
      </c>
      <c r="D35" s="848">
        <v>3.26</v>
      </c>
      <c r="E35" s="848">
        <v>3.7062500000000003</v>
      </c>
      <c r="F35" s="848">
        <f>E35*1.04</f>
        <v>3.8545000000000003</v>
      </c>
      <c r="G35" s="848">
        <f>F35*1.025</f>
        <v>3.9508624999999999</v>
      </c>
      <c r="I35" s="141"/>
    </row>
    <row r="36" spans="2:9" ht="15" customHeight="1">
      <c r="B36" s="530" t="s">
        <v>784</v>
      </c>
      <c r="C36" s="850"/>
      <c r="D36" s="850">
        <v>72</v>
      </c>
      <c r="E36" s="850"/>
      <c r="F36" s="850"/>
      <c r="G36" s="850"/>
      <c r="I36" s="141"/>
    </row>
    <row r="37" spans="2:9" ht="15" customHeight="1">
      <c r="B37" s="530" t="s">
        <v>785</v>
      </c>
      <c r="C37" s="848"/>
      <c r="D37" s="848">
        <v>3.43</v>
      </c>
      <c r="E37" s="848"/>
      <c r="F37" s="848"/>
      <c r="G37" s="848"/>
      <c r="I37" s="141"/>
    </row>
    <row r="38" spans="2:9" ht="15" customHeight="1" thickBot="1">
      <c r="B38" s="531" t="s">
        <v>368</v>
      </c>
      <c r="C38" s="487">
        <f t="shared" ref="C38:F38" si="14">(C34*C35)+(C36*C37)</f>
        <v>97.8</v>
      </c>
      <c r="D38" s="487">
        <f t="shared" si="14"/>
        <v>374.1</v>
      </c>
      <c r="E38" s="487">
        <f t="shared" si="14"/>
        <v>177.9</v>
      </c>
      <c r="F38" s="487">
        <f t="shared" si="14"/>
        <v>185.01600000000002</v>
      </c>
      <c r="G38" s="487">
        <f t="shared" ref="G38" si="15">(G34*G35)+(G36*G37)</f>
        <v>189.6414</v>
      </c>
    </row>
    <row r="39" spans="2:9" ht="15" customHeight="1" thickTop="1">
      <c r="B39" s="1190" t="s">
        <v>450</v>
      </c>
      <c r="C39" s="1881" t="s">
        <v>645</v>
      </c>
      <c r="D39" s="1882"/>
      <c r="E39" s="1882"/>
      <c r="F39" s="1882"/>
      <c r="G39" s="1883"/>
    </row>
    <row r="40" spans="2:9" ht="15" customHeight="1">
      <c r="B40" s="530" t="s">
        <v>365</v>
      </c>
      <c r="C40" s="850"/>
      <c r="D40" s="850">
        <v>30</v>
      </c>
      <c r="E40" s="850"/>
      <c r="F40" s="1292"/>
      <c r="G40" s="850"/>
      <c r="I40" s="488"/>
    </row>
    <row r="41" spans="2:9" ht="15" customHeight="1">
      <c r="B41" s="530" t="s">
        <v>366</v>
      </c>
      <c r="C41" s="848"/>
      <c r="D41" s="848">
        <v>7.65</v>
      </c>
      <c r="E41" s="848"/>
      <c r="F41" s="1293"/>
      <c r="G41" s="848"/>
      <c r="I41" s="141"/>
    </row>
    <row r="42" spans="2:9" ht="15" customHeight="1" thickBot="1">
      <c r="B42" s="531" t="s">
        <v>368</v>
      </c>
      <c r="C42" s="487">
        <f t="shared" ref="C42:F42" si="16">C40*C41</f>
        <v>0</v>
      </c>
      <c r="D42" s="487">
        <f t="shared" si="16"/>
        <v>229.5</v>
      </c>
      <c r="E42" s="487">
        <f t="shared" si="16"/>
        <v>0</v>
      </c>
      <c r="F42" s="1294">
        <f t="shared" si="16"/>
        <v>0</v>
      </c>
      <c r="G42" s="487">
        <f t="shared" ref="G42" si="17">G40*G41</f>
        <v>0</v>
      </c>
    </row>
    <row r="43" spans="2:9" ht="15" customHeight="1" thickTop="1">
      <c r="B43" s="1190" t="s">
        <v>455</v>
      </c>
      <c r="C43" s="1875" t="s">
        <v>645</v>
      </c>
      <c r="D43" s="1876"/>
      <c r="E43" s="1876"/>
      <c r="F43" s="1876"/>
      <c r="G43" s="1877"/>
    </row>
    <row r="44" spans="2:9" ht="15" customHeight="1">
      <c r="B44" s="530" t="s">
        <v>365</v>
      </c>
      <c r="C44" s="850">
        <v>10</v>
      </c>
      <c r="D44" s="850">
        <v>15</v>
      </c>
      <c r="E44" s="850"/>
      <c r="F44" s="1292"/>
      <c r="G44" s="850"/>
    </row>
    <row r="45" spans="2:9" ht="15" customHeight="1">
      <c r="B45" s="530" t="s">
        <v>366</v>
      </c>
      <c r="C45" s="848">
        <v>7.65</v>
      </c>
      <c r="D45" s="848">
        <v>7.65</v>
      </c>
      <c r="E45" s="848"/>
      <c r="F45" s="1293"/>
      <c r="G45" s="848"/>
    </row>
    <row r="46" spans="2:9" ht="15" customHeight="1" thickBot="1">
      <c r="B46" s="531" t="s">
        <v>368</v>
      </c>
      <c r="C46" s="487">
        <f t="shared" ref="C46:F46" si="18">C44*C45</f>
        <v>76.5</v>
      </c>
      <c r="D46" s="487">
        <f t="shared" si="18"/>
        <v>114.75</v>
      </c>
      <c r="E46" s="487">
        <f t="shared" si="18"/>
        <v>0</v>
      </c>
      <c r="F46" s="1294">
        <f t="shared" si="18"/>
        <v>0</v>
      </c>
      <c r="G46" s="487">
        <f t="shared" ref="G46" si="19">G44*G45</f>
        <v>0</v>
      </c>
    </row>
    <row r="47" spans="2:9" ht="15" customHeight="1" thickTop="1">
      <c r="B47" s="1190" t="s">
        <v>588</v>
      </c>
      <c r="C47" s="1875" t="s">
        <v>645</v>
      </c>
      <c r="D47" s="1876"/>
      <c r="E47" s="1876"/>
      <c r="F47" s="1876"/>
      <c r="G47" s="1877"/>
    </row>
    <row r="48" spans="2:9" ht="15" customHeight="1">
      <c r="B48" s="530" t="s">
        <v>365</v>
      </c>
      <c r="C48" s="850">
        <v>10</v>
      </c>
      <c r="D48" s="850"/>
      <c r="E48" s="850"/>
      <c r="F48" s="1292"/>
      <c r="G48" s="850"/>
      <c r="I48" s="488"/>
    </row>
    <row r="49" spans="2:9" ht="15" customHeight="1">
      <c r="B49" s="530" t="s">
        <v>366</v>
      </c>
      <c r="C49" s="848">
        <v>7.65</v>
      </c>
      <c r="D49" s="848"/>
      <c r="E49" s="848"/>
      <c r="F49" s="1293"/>
      <c r="G49" s="848"/>
      <c r="I49" s="141"/>
    </row>
    <row r="50" spans="2:9" ht="15" customHeight="1">
      <c r="B50" s="530" t="s">
        <v>365</v>
      </c>
      <c r="C50" s="850"/>
      <c r="D50" s="850"/>
      <c r="E50" s="850"/>
      <c r="F50" s="1292"/>
      <c r="G50" s="850"/>
    </row>
    <row r="51" spans="2:9" ht="15" customHeight="1">
      <c r="B51" s="530" t="s">
        <v>366</v>
      </c>
      <c r="C51" s="848"/>
      <c r="D51" s="848"/>
      <c r="E51" s="848"/>
      <c r="F51" s="1293"/>
      <c r="G51" s="848"/>
    </row>
    <row r="52" spans="2:9" ht="15" customHeight="1" thickBot="1">
      <c r="B52" s="531" t="s">
        <v>368</v>
      </c>
      <c r="C52" s="487">
        <f t="shared" ref="C52" si="20">(C48*C49)+(C50*C51)</f>
        <v>76.5</v>
      </c>
      <c r="D52" s="487">
        <f>(D48*D49)+(D50*D51)</f>
        <v>0</v>
      </c>
      <c r="E52" s="487">
        <f t="shared" ref="E52:F52" si="21">(E48*E49)+(E50*E51)</f>
        <v>0</v>
      </c>
      <c r="F52" s="1294">
        <f t="shared" si="21"/>
        <v>0</v>
      </c>
      <c r="G52" s="487">
        <f t="shared" ref="G52" si="22">(G48*G49)+(G50*G51)</f>
        <v>0</v>
      </c>
    </row>
    <row r="53" spans="2:9" ht="15" customHeight="1" thickTop="1">
      <c r="B53" s="1190" t="s">
        <v>473</v>
      </c>
      <c r="C53" s="1875" t="s">
        <v>645</v>
      </c>
      <c r="D53" s="1876"/>
      <c r="E53" s="1876"/>
      <c r="F53" s="1876"/>
      <c r="G53" s="1877"/>
    </row>
    <row r="54" spans="2:9" ht="15" customHeight="1">
      <c r="B54" s="530" t="s">
        <v>365</v>
      </c>
      <c r="C54" s="850"/>
      <c r="D54" s="850"/>
      <c r="E54" s="850"/>
      <c r="F54" s="1292"/>
      <c r="G54" s="850"/>
    </row>
    <row r="55" spans="2:9" ht="15" customHeight="1">
      <c r="B55" s="530" t="s">
        <v>366</v>
      </c>
      <c r="C55" s="848"/>
      <c r="D55" s="848"/>
      <c r="E55" s="848"/>
      <c r="F55" s="1293"/>
      <c r="G55" s="848"/>
    </row>
    <row r="56" spans="2:9" ht="15" customHeight="1" thickBot="1">
      <c r="B56" s="531" t="s">
        <v>368</v>
      </c>
      <c r="C56" s="487">
        <f t="shared" ref="C56:F56" si="23">C54*C55</f>
        <v>0</v>
      </c>
      <c r="D56" s="487">
        <f t="shared" si="23"/>
        <v>0</v>
      </c>
      <c r="E56" s="487">
        <f t="shared" si="23"/>
        <v>0</v>
      </c>
      <c r="F56" s="1294">
        <f t="shared" si="23"/>
        <v>0</v>
      </c>
      <c r="G56" s="487">
        <f t="shared" ref="G56" si="24">G54*G55</f>
        <v>0</v>
      </c>
    </row>
    <row r="57" spans="2:9" ht="15" customHeight="1" thickTop="1">
      <c r="B57" s="1190" t="s">
        <v>586</v>
      </c>
      <c r="C57" s="1875" t="s">
        <v>645</v>
      </c>
      <c r="D57" s="1876"/>
      <c r="E57" s="1876"/>
      <c r="F57" s="1876"/>
      <c r="G57" s="1877"/>
    </row>
    <row r="58" spans="2:9" ht="15" customHeight="1">
      <c r="B58" s="530" t="s">
        <v>365</v>
      </c>
      <c r="C58" s="850">
        <v>10</v>
      </c>
      <c r="D58" s="850"/>
      <c r="E58" s="850"/>
      <c r="F58" s="1292"/>
      <c r="G58" s="850"/>
    </row>
    <row r="59" spans="2:9" ht="15" customHeight="1">
      <c r="B59" s="530" t="s">
        <v>366</v>
      </c>
      <c r="C59" s="848">
        <v>7.65</v>
      </c>
      <c r="D59" s="848"/>
      <c r="E59" s="848"/>
      <c r="F59" s="1293"/>
      <c r="G59" s="848"/>
    </row>
    <row r="60" spans="2:9" ht="15" customHeight="1" thickBot="1">
      <c r="B60" s="531" t="s">
        <v>368</v>
      </c>
      <c r="C60" s="487">
        <f t="shared" ref="C60:F60" si="25">C58*C59</f>
        <v>76.5</v>
      </c>
      <c r="D60" s="487">
        <f t="shared" si="25"/>
        <v>0</v>
      </c>
      <c r="E60" s="487">
        <f t="shared" si="25"/>
        <v>0</v>
      </c>
      <c r="F60" s="1294">
        <f t="shared" si="25"/>
        <v>0</v>
      </c>
      <c r="G60" s="487">
        <f t="shared" ref="G60" si="26">G58*G59</f>
        <v>0</v>
      </c>
    </row>
    <row r="61" spans="2:9" ht="15" customHeight="1" thickTop="1">
      <c r="B61" s="1190" t="s">
        <v>456</v>
      </c>
      <c r="C61" s="1875" t="s">
        <v>645</v>
      </c>
      <c r="D61" s="1876"/>
      <c r="E61" s="1876"/>
      <c r="F61" s="1876"/>
      <c r="G61" s="1877"/>
    </row>
    <row r="62" spans="2:9" ht="15" customHeight="1">
      <c r="B62" s="530" t="s">
        <v>365</v>
      </c>
      <c r="C62" s="850"/>
      <c r="D62" s="850"/>
      <c r="E62" s="850"/>
      <c r="F62" s="1292"/>
      <c r="G62" s="850"/>
    </row>
    <row r="63" spans="2:9" ht="15" customHeight="1">
      <c r="B63" s="530" t="s">
        <v>366</v>
      </c>
      <c r="C63" s="848"/>
      <c r="D63" s="848"/>
      <c r="E63" s="848"/>
      <c r="F63" s="1293"/>
      <c r="G63" s="848"/>
    </row>
    <row r="64" spans="2:9" ht="15" customHeight="1" thickBot="1">
      <c r="B64" s="531" t="s">
        <v>368</v>
      </c>
      <c r="C64" s="487">
        <f t="shared" ref="C64:F64" si="27">C62*C63</f>
        <v>0</v>
      </c>
      <c r="D64" s="487">
        <f t="shared" si="27"/>
        <v>0</v>
      </c>
      <c r="E64" s="487">
        <f t="shared" si="27"/>
        <v>0</v>
      </c>
      <c r="F64" s="1294">
        <f t="shared" si="27"/>
        <v>0</v>
      </c>
      <c r="G64" s="487">
        <f t="shared" ref="G64" si="28">G62*G63</f>
        <v>0</v>
      </c>
    </row>
    <row r="65" spans="2:7" ht="15" customHeight="1" thickTop="1">
      <c r="B65" s="1190" t="s">
        <v>792</v>
      </c>
      <c r="C65" s="1875" t="s">
        <v>645</v>
      </c>
      <c r="D65" s="1876"/>
      <c r="E65" s="1876"/>
      <c r="F65" s="1876"/>
      <c r="G65" s="1877"/>
    </row>
    <row r="66" spans="2:7" ht="15" customHeight="1">
      <c r="B66" s="530" t="s">
        <v>365</v>
      </c>
      <c r="C66" s="850"/>
      <c r="D66" s="850">
        <v>15</v>
      </c>
      <c r="E66" s="850"/>
      <c r="F66" s="1292"/>
      <c r="G66" s="850"/>
    </row>
    <row r="67" spans="2:7" ht="15" customHeight="1">
      <c r="B67" s="530" t="s">
        <v>366</v>
      </c>
      <c r="C67" s="848"/>
      <c r="D67" s="848">
        <v>7.65</v>
      </c>
      <c r="E67" s="848"/>
      <c r="F67" s="1293"/>
      <c r="G67" s="848"/>
    </row>
    <row r="68" spans="2:7" ht="15" customHeight="1" thickBot="1">
      <c r="B68" s="531" t="s">
        <v>368</v>
      </c>
      <c r="C68" s="487">
        <f t="shared" ref="C68:F68" si="29">C66*C67</f>
        <v>0</v>
      </c>
      <c r="D68" s="487">
        <f t="shared" si="29"/>
        <v>114.75</v>
      </c>
      <c r="E68" s="487">
        <f t="shared" si="29"/>
        <v>0</v>
      </c>
      <c r="F68" s="1294">
        <f t="shared" si="29"/>
        <v>0</v>
      </c>
      <c r="G68" s="487">
        <f t="shared" ref="G68" si="30">G66*G67</f>
        <v>0</v>
      </c>
    </row>
    <row r="69" spans="2:7" ht="15" customHeight="1" thickTop="1">
      <c r="B69" s="1190" t="s">
        <v>589</v>
      </c>
      <c r="C69" s="1875" t="s">
        <v>645</v>
      </c>
      <c r="D69" s="1876"/>
      <c r="E69" s="1876"/>
      <c r="F69" s="1876"/>
      <c r="G69" s="1877"/>
    </row>
    <row r="70" spans="2:7" ht="15" customHeight="1">
      <c r="B70" s="530" t="s">
        <v>365</v>
      </c>
      <c r="C70" s="850"/>
      <c r="D70" s="850">
        <v>40</v>
      </c>
      <c r="E70" s="850"/>
      <c r="F70" s="1292"/>
      <c r="G70" s="850"/>
    </row>
    <row r="71" spans="2:7" ht="15" customHeight="1">
      <c r="B71" s="530" t="s">
        <v>366</v>
      </c>
      <c r="C71" s="848"/>
      <c r="D71" s="848">
        <v>7.65</v>
      </c>
      <c r="E71" s="848"/>
      <c r="F71" s="1293"/>
      <c r="G71" s="848"/>
    </row>
    <row r="72" spans="2:7" ht="15" customHeight="1" thickBot="1">
      <c r="B72" s="531" t="s">
        <v>368</v>
      </c>
      <c r="C72" s="487">
        <f t="shared" ref="C72:F72" si="31">C70*C71</f>
        <v>0</v>
      </c>
      <c r="D72" s="487">
        <f t="shared" si="31"/>
        <v>306</v>
      </c>
      <c r="E72" s="487">
        <f t="shared" si="31"/>
        <v>0</v>
      </c>
      <c r="F72" s="1294">
        <f t="shared" si="31"/>
        <v>0</v>
      </c>
      <c r="G72" s="487">
        <f t="shared" ref="G72" si="32">G70*G71</f>
        <v>0</v>
      </c>
    </row>
    <row r="73" spans="2:7" ht="15" customHeight="1" thickTop="1">
      <c r="B73" s="1190" t="s">
        <v>590</v>
      </c>
      <c r="C73" s="1875" t="s">
        <v>645</v>
      </c>
      <c r="D73" s="1876"/>
      <c r="E73" s="1876"/>
      <c r="F73" s="1876"/>
      <c r="G73" s="1877"/>
    </row>
    <row r="74" spans="2:7" ht="15" customHeight="1">
      <c r="B74" s="530" t="s">
        <v>365</v>
      </c>
      <c r="C74" s="850"/>
      <c r="D74" s="850"/>
      <c r="E74" s="850"/>
      <c r="F74" s="1292"/>
      <c r="G74" s="850"/>
    </row>
    <row r="75" spans="2:7" ht="15" customHeight="1">
      <c r="B75" s="530" t="s">
        <v>366</v>
      </c>
      <c r="C75" s="848"/>
      <c r="D75" s="848"/>
      <c r="E75" s="848"/>
      <c r="F75" s="1293"/>
      <c r="G75" s="848"/>
    </row>
    <row r="76" spans="2:7" ht="15" customHeight="1" thickBot="1">
      <c r="B76" s="531" t="s">
        <v>368</v>
      </c>
      <c r="C76" s="487">
        <f t="shared" ref="C76:F76" si="33">C74*C75</f>
        <v>0</v>
      </c>
      <c r="D76" s="487">
        <f t="shared" si="33"/>
        <v>0</v>
      </c>
      <c r="E76" s="487">
        <f t="shared" si="33"/>
        <v>0</v>
      </c>
      <c r="F76" s="1294">
        <f t="shared" si="33"/>
        <v>0</v>
      </c>
      <c r="G76" s="487">
        <f t="shared" ref="G76" si="34">G74*G75</f>
        <v>0</v>
      </c>
    </row>
    <row r="77" spans="2:7" ht="15" customHeight="1" thickTop="1">
      <c r="B77" s="1190" t="s">
        <v>422</v>
      </c>
      <c r="C77" s="1875" t="s">
        <v>645</v>
      </c>
      <c r="D77" s="1876"/>
      <c r="E77" s="1876"/>
      <c r="F77" s="1876"/>
      <c r="G77" s="1877"/>
    </row>
    <row r="78" spans="2:7" ht="15" customHeight="1">
      <c r="B78" s="530" t="s">
        <v>365</v>
      </c>
      <c r="C78" s="850">
        <v>5</v>
      </c>
      <c r="D78" s="850"/>
      <c r="E78" s="850"/>
      <c r="F78" s="1292"/>
      <c r="G78" s="850"/>
    </row>
    <row r="79" spans="2:7" ht="15" customHeight="1">
      <c r="B79" s="530" t="s">
        <v>366</v>
      </c>
      <c r="C79" s="848">
        <v>7.65</v>
      </c>
      <c r="D79" s="848"/>
      <c r="E79" s="848"/>
      <c r="F79" s="1293"/>
      <c r="G79" s="848"/>
    </row>
    <row r="80" spans="2:7" ht="15" customHeight="1" thickBot="1">
      <c r="B80" s="531" t="s">
        <v>368</v>
      </c>
      <c r="C80" s="487">
        <f t="shared" ref="C80:F80" si="35">C78*C79</f>
        <v>38.25</v>
      </c>
      <c r="D80" s="487">
        <f t="shared" si="35"/>
        <v>0</v>
      </c>
      <c r="E80" s="487">
        <f t="shared" si="35"/>
        <v>0</v>
      </c>
      <c r="F80" s="1294">
        <f t="shared" si="35"/>
        <v>0</v>
      </c>
      <c r="G80" s="487">
        <f t="shared" ref="G80" si="36">G78*G79</f>
        <v>0</v>
      </c>
    </row>
    <row r="81" spans="2:8" ht="15" customHeight="1" thickTop="1">
      <c r="B81" s="1190" t="s">
        <v>475</v>
      </c>
      <c r="C81" s="1875" t="s">
        <v>645</v>
      </c>
      <c r="D81" s="1876"/>
      <c r="E81" s="1876"/>
      <c r="F81" s="1876"/>
      <c r="G81" s="1877"/>
    </row>
    <row r="82" spans="2:8" ht="15" customHeight="1">
      <c r="B82" s="530" t="s">
        <v>365</v>
      </c>
      <c r="C82" s="850"/>
      <c r="D82" s="850"/>
      <c r="E82" s="850"/>
      <c r="F82" s="1292"/>
      <c r="G82" s="850"/>
    </row>
    <row r="83" spans="2:8" ht="15" customHeight="1">
      <c r="B83" s="530" t="s">
        <v>366</v>
      </c>
      <c r="C83" s="848"/>
      <c r="D83" s="848"/>
      <c r="E83" s="848"/>
      <c r="F83" s="1293"/>
      <c r="G83" s="848"/>
    </row>
    <row r="84" spans="2:8" ht="15" customHeight="1" thickBot="1">
      <c r="B84" s="531" t="s">
        <v>368</v>
      </c>
      <c r="C84" s="487">
        <f t="shared" ref="C84:F84" si="37">C82*C83</f>
        <v>0</v>
      </c>
      <c r="D84" s="487">
        <f t="shared" si="37"/>
        <v>0</v>
      </c>
      <c r="E84" s="487">
        <f t="shared" si="37"/>
        <v>0</v>
      </c>
      <c r="F84" s="1294">
        <f t="shared" si="37"/>
        <v>0</v>
      </c>
      <c r="G84" s="487">
        <f t="shared" ref="G84" si="38">G82*G83</f>
        <v>0</v>
      </c>
    </row>
    <row r="85" spans="2:8" ht="15" customHeight="1" thickTop="1">
      <c r="B85" s="1191" t="s">
        <v>640</v>
      </c>
      <c r="C85" s="1875" t="s">
        <v>645</v>
      </c>
      <c r="D85" s="1876"/>
      <c r="E85" s="1876"/>
      <c r="F85" s="1876"/>
      <c r="G85" s="1877"/>
    </row>
    <row r="86" spans="2:8" ht="15" customHeight="1">
      <c r="B86" s="530" t="s">
        <v>365</v>
      </c>
      <c r="C86" s="850"/>
      <c r="D86" s="850"/>
      <c r="E86" s="850">
        <v>1135</v>
      </c>
      <c r="F86" s="1292">
        <f>1135*1.3</f>
        <v>1475.5</v>
      </c>
      <c r="G86" s="850">
        <f>F86</f>
        <v>1475.5</v>
      </c>
    </row>
    <row r="87" spans="2:8" ht="15" customHeight="1">
      <c r="B87" s="530" t="s">
        <v>366</v>
      </c>
      <c r="C87" s="848"/>
      <c r="D87" s="848"/>
      <c r="E87" s="848">
        <v>0.375</v>
      </c>
      <c r="F87" s="1293">
        <f>E87*1.04</f>
        <v>0.39</v>
      </c>
      <c r="G87" s="848">
        <f>F87*1.025</f>
        <v>0.39974999999999999</v>
      </c>
    </row>
    <row r="88" spans="2:8" ht="15" customHeight="1" thickBot="1">
      <c r="B88" s="531" t="s">
        <v>368</v>
      </c>
      <c r="C88" s="487">
        <f t="shared" ref="C88:F88" si="39">C86*C87</f>
        <v>0</v>
      </c>
      <c r="D88" s="487">
        <f t="shared" si="39"/>
        <v>0</v>
      </c>
      <c r="E88" s="487">
        <f t="shared" si="39"/>
        <v>425.625</v>
      </c>
      <c r="F88" s="1294">
        <f t="shared" si="39"/>
        <v>575.44500000000005</v>
      </c>
      <c r="G88" s="487">
        <f t="shared" ref="G88" si="40">G86*G87</f>
        <v>589.83112500000004</v>
      </c>
    </row>
    <row r="89" spans="2:8" ht="15" customHeight="1" thickTop="1">
      <c r="B89" s="1191" t="s">
        <v>759</v>
      </c>
      <c r="C89" s="1875" t="s">
        <v>645</v>
      </c>
      <c r="D89" s="1876"/>
      <c r="E89" s="1876"/>
      <c r="F89" s="1876"/>
      <c r="G89" s="1877"/>
    </row>
    <row r="90" spans="2:8" ht="15" customHeight="1">
      <c r="B90" s="530" t="s">
        <v>365</v>
      </c>
      <c r="C90" s="850">
        <v>15</v>
      </c>
      <c r="D90" s="850"/>
      <c r="E90" s="850"/>
      <c r="F90" s="1292"/>
      <c r="G90" s="850"/>
    </row>
    <row r="91" spans="2:8" ht="15" customHeight="1">
      <c r="B91" s="530" t="s">
        <v>366</v>
      </c>
      <c r="C91" s="848">
        <v>7.65</v>
      </c>
      <c r="D91" s="848"/>
      <c r="E91" s="848"/>
      <c r="F91" s="1293"/>
      <c r="G91" s="848"/>
    </row>
    <row r="92" spans="2:8" ht="15" customHeight="1" thickBot="1">
      <c r="B92" s="531" t="s">
        <v>368</v>
      </c>
      <c r="C92" s="487">
        <f t="shared" ref="C92:F92" si="41">C90*C91</f>
        <v>114.75</v>
      </c>
      <c r="D92" s="487">
        <f t="shared" si="41"/>
        <v>0</v>
      </c>
      <c r="E92" s="487">
        <f t="shared" si="41"/>
        <v>0</v>
      </c>
      <c r="F92" s="1294">
        <f t="shared" si="41"/>
        <v>0</v>
      </c>
      <c r="G92" s="487"/>
      <c r="H92" s="498"/>
    </row>
    <row r="93" spans="2:8" ht="15" customHeight="1" thickTop="1">
      <c r="B93" s="1191" t="s">
        <v>455</v>
      </c>
      <c r="C93" s="1875" t="s">
        <v>646</v>
      </c>
      <c r="D93" s="1876"/>
      <c r="E93" s="1876"/>
      <c r="F93" s="1876"/>
      <c r="G93" s="1877"/>
      <c r="H93" s="498"/>
    </row>
    <row r="94" spans="2:8" ht="15" customHeight="1">
      <c r="B94" s="530" t="s">
        <v>363</v>
      </c>
      <c r="C94" s="847"/>
      <c r="D94" s="847">
        <v>0.8</v>
      </c>
      <c r="E94" s="847">
        <v>4.0449999999999999</v>
      </c>
      <c r="F94" s="1295">
        <v>4.0449999999999999</v>
      </c>
      <c r="G94" s="847">
        <f>F94</f>
        <v>4.0449999999999999</v>
      </c>
      <c r="H94" s="498"/>
    </row>
    <row r="95" spans="2:8" ht="15" customHeight="1">
      <c r="B95" s="530" t="s">
        <v>364</v>
      </c>
      <c r="C95" s="847"/>
      <c r="D95" s="847">
        <v>375</v>
      </c>
      <c r="E95" s="847">
        <v>375</v>
      </c>
      <c r="F95" s="1295">
        <f>E95*1.04</f>
        <v>390</v>
      </c>
      <c r="G95" s="847">
        <f>F95*1.025</f>
        <v>399.74999999999994</v>
      </c>
      <c r="H95" s="498"/>
    </row>
    <row r="96" spans="2:8" ht="15" customHeight="1" thickBot="1">
      <c r="B96" s="531" t="s">
        <v>368</v>
      </c>
      <c r="C96" s="487">
        <f t="shared" ref="C96:F96" si="42">C94*C95</f>
        <v>0</v>
      </c>
      <c r="D96" s="487">
        <f t="shared" si="42"/>
        <v>300</v>
      </c>
      <c r="E96" s="487">
        <f t="shared" si="42"/>
        <v>1516.875</v>
      </c>
      <c r="F96" s="1294">
        <f t="shared" si="42"/>
        <v>1577.55</v>
      </c>
      <c r="G96" s="487">
        <f t="shared" ref="G96" si="43">G94*G95</f>
        <v>1616.9887499999998</v>
      </c>
      <c r="H96" s="498"/>
    </row>
    <row r="97" spans="2:9" ht="15" customHeight="1" thickTop="1">
      <c r="B97" s="1191" t="s">
        <v>633</v>
      </c>
      <c r="C97" s="1875" t="s">
        <v>646</v>
      </c>
      <c r="D97" s="1876"/>
      <c r="E97" s="1876"/>
      <c r="F97" s="1876"/>
      <c r="G97" s="1877"/>
      <c r="H97" s="498"/>
    </row>
    <row r="98" spans="2:9" ht="15" customHeight="1">
      <c r="B98" s="530" t="s">
        <v>363</v>
      </c>
      <c r="C98" s="847"/>
      <c r="D98" s="847">
        <v>0.2</v>
      </c>
      <c r="E98" s="847">
        <v>0.21</v>
      </c>
      <c r="F98" s="1295">
        <v>0.21</v>
      </c>
      <c r="G98" s="847">
        <f>F98</f>
        <v>0.21</v>
      </c>
      <c r="H98" s="498"/>
    </row>
    <row r="99" spans="2:9" ht="15" customHeight="1">
      <c r="B99" s="530" t="s">
        <v>364</v>
      </c>
      <c r="C99" s="848"/>
      <c r="D99" s="848">
        <v>375</v>
      </c>
      <c r="E99" s="848">
        <v>375</v>
      </c>
      <c r="F99" s="1293">
        <f>E99*1.04</f>
        <v>390</v>
      </c>
      <c r="G99" s="848">
        <f>F99*1.025</f>
        <v>399.74999999999994</v>
      </c>
      <c r="H99" s="498"/>
    </row>
    <row r="100" spans="2:9" ht="15" customHeight="1" thickBot="1">
      <c r="B100" s="531" t="s">
        <v>368</v>
      </c>
      <c r="C100" s="487">
        <f t="shared" ref="C100:F100" si="44">C98*C99</f>
        <v>0</v>
      </c>
      <c r="D100" s="487">
        <f t="shared" si="44"/>
        <v>75</v>
      </c>
      <c r="E100" s="487">
        <f t="shared" si="44"/>
        <v>78.75</v>
      </c>
      <c r="F100" s="1294">
        <f t="shared" si="44"/>
        <v>81.899999999999991</v>
      </c>
      <c r="G100" s="487">
        <f t="shared" ref="G100" si="45">G98*G99</f>
        <v>83.947499999999991</v>
      </c>
      <c r="H100" s="498"/>
    </row>
    <row r="101" spans="2:9" ht="15" customHeight="1" thickTop="1">
      <c r="B101" s="1190" t="s">
        <v>456</v>
      </c>
      <c r="C101" s="1875" t="s">
        <v>646</v>
      </c>
      <c r="D101" s="1876"/>
      <c r="E101" s="1876"/>
      <c r="F101" s="1876"/>
      <c r="G101" s="1877"/>
      <c r="H101" s="498"/>
    </row>
    <row r="102" spans="2:9" ht="15" customHeight="1">
      <c r="B102" s="530" t="s">
        <v>363</v>
      </c>
      <c r="C102" s="847">
        <v>2.5</v>
      </c>
      <c r="D102" s="847">
        <v>0.5</v>
      </c>
      <c r="E102" s="847">
        <v>0.63000000000000012</v>
      </c>
      <c r="F102" s="1295">
        <v>0.63000000000000012</v>
      </c>
      <c r="G102" s="847">
        <f>F102</f>
        <v>0.63000000000000012</v>
      </c>
      <c r="H102" s="498"/>
    </row>
    <row r="103" spans="2:9" ht="15" customHeight="1">
      <c r="B103" s="530" t="s">
        <v>364</v>
      </c>
      <c r="C103" s="848">
        <v>306</v>
      </c>
      <c r="D103" s="848">
        <v>306</v>
      </c>
      <c r="E103" s="848">
        <v>375</v>
      </c>
      <c r="F103" s="1293">
        <f>E103*1.04</f>
        <v>390</v>
      </c>
      <c r="G103" s="848">
        <f>F103*1.025</f>
        <v>399.74999999999994</v>
      </c>
      <c r="H103" s="498"/>
      <c r="I103" s="489"/>
    </row>
    <row r="104" spans="2:9" ht="15" customHeight="1">
      <c r="B104" s="530" t="s">
        <v>363</v>
      </c>
      <c r="C104" s="847"/>
      <c r="D104" s="847">
        <v>1.5</v>
      </c>
      <c r="E104" s="847"/>
      <c r="F104" s="1295"/>
      <c r="G104" s="847"/>
      <c r="I104" s="489"/>
    </row>
    <row r="105" spans="2:9" ht="15" customHeight="1">
      <c r="B105" s="530" t="s">
        <v>364</v>
      </c>
      <c r="C105" s="849"/>
      <c r="D105" s="849">
        <v>340</v>
      </c>
      <c r="E105" s="849"/>
      <c r="F105" s="1296"/>
      <c r="G105" s="849"/>
      <c r="I105" s="489"/>
    </row>
    <row r="106" spans="2:9" ht="15" customHeight="1" thickBot="1">
      <c r="B106" s="531" t="s">
        <v>368</v>
      </c>
      <c r="C106" s="487">
        <f t="shared" ref="C106:F106" si="46">(C102*C103)+(C104*C105)</f>
        <v>765</v>
      </c>
      <c r="D106" s="487">
        <f t="shared" si="46"/>
        <v>663</v>
      </c>
      <c r="E106" s="487">
        <f t="shared" si="46"/>
        <v>236.25000000000006</v>
      </c>
      <c r="F106" s="1294">
        <f t="shared" si="46"/>
        <v>245.70000000000005</v>
      </c>
      <c r="G106" s="487">
        <f t="shared" ref="G106" si="47">(G102*G103)+(G104*G105)</f>
        <v>251.8425</v>
      </c>
    </row>
    <row r="107" spans="2:9" ht="15" customHeight="1" thickTop="1">
      <c r="B107" s="1190" t="s">
        <v>587</v>
      </c>
      <c r="C107" s="1875" t="s">
        <v>646</v>
      </c>
      <c r="D107" s="1876"/>
      <c r="E107" s="1876"/>
      <c r="F107" s="1876"/>
      <c r="G107" s="1877"/>
    </row>
    <row r="108" spans="2:9" ht="15" customHeight="1">
      <c r="B108" s="530" t="s">
        <v>363</v>
      </c>
      <c r="C108" s="847">
        <v>0.5</v>
      </c>
      <c r="D108" s="847">
        <v>0.5</v>
      </c>
      <c r="E108" s="847">
        <v>0.315</v>
      </c>
      <c r="F108" s="1295">
        <v>0.315</v>
      </c>
      <c r="G108" s="847">
        <f>F108</f>
        <v>0.315</v>
      </c>
    </row>
    <row r="109" spans="2:9" ht="15" customHeight="1">
      <c r="B109" s="530" t="s">
        <v>364</v>
      </c>
      <c r="C109" s="848">
        <v>306</v>
      </c>
      <c r="D109" s="848">
        <v>306</v>
      </c>
      <c r="E109" s="848">
        <v>375</v>
      </c>
      <c r="F109" s="1293">
        <f>E109*1.04</f>
        <v>390</v>
      </c>
      <c r="G109" s="848">
        <f>F109*1.025</f>
        <v>399.74999999999994</v>
      </c>
    </row>
    <row r="110" spans="2:9" ht="15" customHeight="1">
      <c r="B110" s="530" t="s">
        <v>363</v>
      </c>
      <c r="C110" s="847"/>
      <c r="D110" s="847">
        <v>0.5</v>
      </c>
      <c r="E110" s="847"/>
      <c r="F110" s="1295"/>
      <c r="G110" s="847"/>
    </row>
    <row r="111" spans="2:9" ht="15" customHeight="1">
      <c r="B111" s="530" t="s">
        <v>364</v>
      </c>
      <c r="C111" s="849"/>
      <c r="D111" s="849">
        <v>340</v>
      </c>
      <c r="E111" s="849"/>
      <c r="F111" s="1296"/>
      <c r="G111" s="849"/>
    </row>
    <row r="112" spans="2:9" ht="15" customHeight="1" thickBot="1">
      <c r="B112" s="531" t="s">
        <v>368</v>
      </c>
      <c r="C112" s="487">
        <f t="shared" ref="C112:F112" si="48">(C108*C109)+(C110*C111)</f>
        <v>153</v>
      </c>
      <c r="D112" s="487">
        <f t="shared" si="48"/>
        <v>323</v>
      </c>
      <c r="E112" s="487">
        <f t="shared" si="48"/>
        <v>118.125</v>
      </c>
      <c r="F112" s="1294">
        <f t="shared" si="48"/>
        <v>122.85</v>
      </c>
      <c r="G112" s="487">
        <f t="shared" ref="G112" si="49">(G108*G109)+(G110*G111)</f>
        <v>125.92124999999999</v>
      </c>
    </row>
    <row r="113" spans="2:7" ht="15" customHeight="1" thickTop="1">
      <c r="B113" s="1190" t="s">
        <v>450</v>
      </c>
      <c r="C113" s="1875" t="s">
        <v>647</v>
      </c>
      <c r="D113" s="1876"/>
      <c r="E113" s="1876"/>
      <c r="F113" s="1876"/>
      <c r="G113" s="1877"/>
    </row>
    <row r="114" spans="2:7" ht="15" customHeight="1">
      <c r="B114" s="530" t="s">
        <v>365</v>
      </c>
      <c r="C114" s="850">
        <v>78.75</v>
      </c>
      <c r="D114" s="850"/>
      <c r="E114" s="850"/>
      <c r="F114" s="1292"/>
      <c r="G114" s="850"/>
    </row>
    <row r="115" spans="2:7" ht="15" customHeight="1">
      <c r="B115" s="530" t="s">
        <v>366</v>
      </c>
      <c r="C115" s="848">
        <v>0.21</v>
      </c>
      <c r="D115" s="848"/>
      <c r="E115" s="848"/>
      <c r="F115" s="1293"/>
      <c r="G115" s="848"/>
    </row>
    <row r="116" spans="2:7" ht="15" customHeight="1" thickBot="1">
      <c r="B116" s="531" t="s">
        <v>368</v>
      </c>
      <c r="C116" s="487">
        <f t="shared" ref="C116:F116" si="50">C114*C115</f>
        <v>16.537499999999998</v>
      </c>
      <c r="D116" s="487">
        <f t="shared" si="50"/>
        <v>0</v>
      </c>
      <c r="E116" s="487">
        <f t="shared" si="50"/>
        <v>0</v>
      </c>
      <c r="F116" s="1294">
        <f t="shared" si="50"/>
        <v>0</v>
      </c>
      <c r="G116" s="487">
        <f t="shared" ref="G116" si="51">G114*G115</f>
        <v>0</v>
      </c>
    </row>
    <row r="117" spans="2:7" ht="15" customHeight="1" thickTop="1">
      <c r="B117" s="1190" t="s">
        <v>455</v>
      </c>
      <c r="C117" s="1875" t="s">
        <v>647</v>
      </c>
      <c r="D117" s="1876"/>
      <c r="E117" s="1876"/>
      <c r="F117" s="1876"/>
      <c r="G117" s="1877"/>
    </row>
    <row r="118" spans="2:7" ht="15" customHeight="1">
      <c r="B118" s="530" t="s">
        <v>365</v>
      </c>
      <c r="C118" s="850">
        <v>180.25</v>
      </c>
      <c r="D118" s="850"/>
      <c r="E118" s="850"/>
      <c r="F118" s="1292"/>
      <c r="G118" s="850"/>
    </row>
    <row r="119" spans="2:7" ht="15" customHeight="1">
      <c r="B119" s="530" t="s">
        <v>366</v>
      </c>
      <c r="C119" s="848">
        <v>0.21</v>
      </c>
      <c r="D119" s="848"/>
      <c r="E119" s="848"/>
      <c r="F119" s="1293"/>
      <c r="G119" s="848"/>
    </row>
    <row r="120" spans="2:7" ht="15" customHeight="1" thickBot="1">
      <c r="B120" s="531" t="s">
        <v>368</v>
      </c>
      <c r="C120" s="487">
        <f t="shared" ref="C120:F120" si="52">C118*C119</f>
        <v>37.852499999999999</v>
      </c>
      <c r="D120" s="487">
        <f t="shared" si="52"/>
        <v>0</v>
      </c>
      <c r="E120" s="487">
        <f t="shared" si="52"/>
        <v>0</v>
      </c>
      <c r="F120" s="1294">
        <f t="shared" si="52"/>
        <v>0</v>
      </c>
      <c r="G120" s="487">
        <f t="shared" ref="G120" si="53">G118*G119</f>
        <v>0</v>
      </c>
    </row>
    <row r="121" spans="2:7" ht="15" customHeight="1" thickTop="1">
      <c r="B121" s="1190" t="s">
        <v>633</v>
      </c>
      <c r="C121" s="1875" t="s">
        <v>647</v>
      </c>
      <c r="D121" s="1876"/>
      <c r="E121" s="1876"/>
      <c r="F121" s="1876"/>
      <c r="G121" s="1877"/>
    </row>
    <row r="122" spans="2:7" ht="15" customHeight="1">
      <c r="B122" s="530" t="s">
        <v>365</v>
      </c>
      <c r="C122" s="850"/>
      <c r="D122" s="850"/>
      <c r="E122" s="850"/>
      <c r="F122" s="1292"/>
      <c r="G122" s="850"/>
    </row>
    <row r="123" spans="2:7" ht="15" customHeight="1">
      <c r="B123" s="530" t="s">
        <v>366</v>
      </c>
      <c r="C123" s="848"/>
      <c r="D123" s="848"/>
      <c r="E123" s="848"/>
      <c r="F123" s="1293"/>
      <c r="G123" s="848"/>
    </row>
    <row r="124" spans="2:7" ht="15" customHeight="1" thickBot="1">
      <c r="B124" s="531" t="s">
        <v>368</v>
      </c>
      <c r="C124" s="487">
        <f t="shared" ref="C124:F124" si="54">C122*C123</f>
        <v>0</v>
      </c>
      <c r="D124" s="487">
        <f t="shared" si="54"/>
        <v>0</v>
      </c>
      <c r="E124" s="487">
        <f t="shared" si="54"/>
        <v>0</v>
      </c>
      <c r="F124" s="1294">
        <f t="shared" si="54"/>
        <v>0</v>
      </c>
      <c r="G124" s="487">
        <f t="shared" ref="G124" si="55">G122*G123</f>
        <v>0</v>
      </c>
    </row>
    <row r="125" spans="2:7" ht="15" customHeight="1" thickTop="1">
      <c r="B125" s="1192" t="s">
        <v>475</v>
      </c>
      <c r="C125" s="1890" t="s">
        <v>971</v>
      </c>
      <c r="D125" s="1891"/>
      <c r="E125" s="1891"/>
      <c r="F125" s="1891"/>
      <c r="G125" s="1892"/>
    </row>
    <row r="126" spans="2:7" ht="15" customHeight="1">
      <c r="B126" s="530" t="s">
        <v>365</v>
      </c>
      <c r="C126" s="850"/>
      <c r="D126" s="850"/>
      <c r="E126" s="850">
        <v>25</v>
      </c>
      <c r="F126" s="1292">
        <f>E126*1.722</f>
        <v>43.05</v>
      </c>
      <c r="G126" s="850">
        <f>F126</f>
        <v>43.05</v>
      </c>
    </row>
    <row r="127" spans="2:7" ht="15" customHeight="1">
      <c r="B127" s="530" t="s">
        <v>366</v>
      </c>
      <c r="C127" s="848"/>
      <c r="D127" s="848"/>
      <c r="E127" s="848">
        <v>7.48</v>
      </c>
      <c r="F127" s="1293">
        <f>E127*1.04</f>
        <v>7.7792000000000003</v>
      </c>
      <c r="G127" s="848">
        <f>F127*1.025</f>
        <v>7.9736799999999999</v>
      </c>
    </row>
    <row r="128" spans="2:7" ht="15" customHeight="1" thickBot="1">
      <c r="B128" s="531" t="s">
        <v>368</v>
      </c>
      <c r="C128" s="487">
        <f t="shared" ref="C128:F128" si="56">C126*C127</f>
        <v>0</v>
      </c>
      <c r="D128" s="487">
        <f t="shared" si="56"/>
        <v>0</v>
      </c>
      <c r="E128" s="487">
        <f t="shared" si="56"/>
        <v>187</v>
      </c>
      <c r="F128" s="1294">
        <f t="shared" si="56"/>
        <v>334.89456000000001</v>
      </c>
      <c r="G128" s="487">
        <f t="shared" ref="G128" si="57">G126*G127</f>
        <v>343.26692399999996</v>
      </c>
    </row>
    <row r="129" spans="2:7" ht="15" customHeight="1" thickTop="1">
      <c r="B129" s="1190" t="s">
        <v>474</v>
      </c>
      <c r="C129" s="1875" t="s">
        <v>648</v>
      </c>
      <c r="D129" s="1876"/>
      <c r="E129" s="1876"/>
      <c r="F129" s="1876"/>
      <c r="G129" s="1877"/>
    </row>
    <row r="130" spans="2:7" ht="15" customHeight="1">
      <c r="B130" s="530" t="s">
        <v>451</v>
      </c>
      <c r="C130" s="850"/>
      <c r="D130" s="850"/>
      <c r="E130" s="850"/>
      <c r="F130" s="1292"/>
      <c r="G130" s="850"/>
    </row>
    <row r="131" spans="2:7" ht="15" customHeight="1">
      <c r="B131" s="530" t="s">
        <v>452</v>
      </c>
      <c r="C131" s="848"/>
      <c r="D131" s="848"/>
      <c r="E131" s="848"/>
      <c r="F131" s="1293"/>
      <c r="G131" s="848"/>
    </row>
    <row r="132" spans="2:7" ht="15" customHeight="1" thickBot="1">
      <c r="B132" s="531" t="s">
        <v>368</v>
      </c>
      <c r="C132" s="487">
        <f t="shared" ref="C132:G132" si="58">C130*C131</f>
        <v>0</v>
      </c>
      <c r="D132" s="487">
        <f t="shared" si="58"/>
        <v>0</v>
      </c>
      <c r="E132" s="487">
        <f t="shared" si="58"/>
        <v>0</v>
      </c>
      <c r="F132" s="1294">
        <f t="shared" si="58"/>
        <v>0</v>
      </c>
      <c r="G132" s="487">
        <f t="shared" si="58"/>
        <v>0</v>
      </c>
    </row>
    <row r="133" spans="2:7" ht="15" customHeight="1" thickTop="1">
      <c r="B133" s="1190" t="s">
        <v>450</v>
      </c>
      <c r="C133" s="1875" t="s">
        <v>648</v>
      </c>
      <c r="D133" s="1876"/>
      <c r="E133" s="1876"/>
      <c r="F133" s="1876"/>
      <c r="G133" s="1877"/>
    </row>
    <row r="134" spans="2:7" ht="15" customHeight="1">
      <c r="B134" s="530" t="s">
        <v>451</v>
      </c>
      <c r="C134" s="850"/>
      <c r="D134" s="850"/>
      <c r="E134" s="850"/>
      <c r="F134" s="1292"/>
      <c r="G134" s="850"/>
    </row>
    <row r="135" spans="2:7" ht="15" customHeight="1">
      <c r="B135" s="530" t="s">
        <v>452</v>
      </c>
      <c r="C135" s="848"/>
      <c r="D135" s="848"/>
      <c r="E135" s="848"/>
      <c r="F135" s="1293"/>
      <c r="G135" s="848"/>
    </row>
    <row r="136" spans="2:7" ht="15" customHeight="1" thickBot="1">
      <c r="B136" s="531" t="s">
        <v>368</v>
      </c>
      <c r="C136" s="487">
        <f t="shared" ref="C136:G136" si="59">C134*C135</f>
        <v>0</v>
      </c>
      <c r="D136" s="487">
        <f t="shared" si="59"/>
        <v>0</v>
      </c>
      <c r="E136" s="487">
        <f t="shared" si="59"/>
        <v>0</v>
      </c>
      <c r="F136" s="1294">
        <f t="shared" si="59"/>
        <v>0</v>
      </c>
      <c r="G136" s="487">
        <f t="shared" si="59"/>
        <v>0</v>
      </c>
    </row>
    <row r="137" spans="2:7" ht="15" customHeight="1" thickTop="1">
      <c r="B137" s="1190" t="s">
        <v>457</v>
      </c>
      <c r="C137" s="1875" t="s">
        <v>648</v>
      </c>
      <c r="D137" s="1876"/>
      <c r="E137" s="1876"/>
      <c r="F137" s="1876"/>
      <c r="G137" s="1877"/>
    </row>
    <row r="138" spans="2:7" ht="15" customHeight="1">
      <c r="B138" s="530" t="s">
        <v>451</v>
      </c>
      <c r="C138" s="850"/>
      <c r="D138" s="850"/>
      <c r="E138" s="850"/>
      <c r="F138" s="1292"/>
      <c r="G138" s="850"/>
    </row>
    <row r="139" spans="2:7" ht="15" customHeight="1">
      <c r="B139" s="530" t="s">
        <v>452</v>
      </c>
      <c r="C139" s="848"/>
      <c r="D139" s="848"/>
      <c r="E139" s="848"/>
      <c r="F139" s="1293"/>
      <c r="G139" s="848"/>
    </row>
    <row r="140" spans="2:7" ht="15" customHeight="1" thickBot="1">
      <c r="B140" s="531" t="s">
        <v>368</v>
      </c>
      <c r="C140" s="487">
        <f t="shared" ref="C140:G140" si="60">C138*C139</f>
        <v>0</v>
      </c>
      <c r="D140" s="487">
        <f t="shared" si="60"/>
        <v>0</v>
      </c>
      <c r="E140" s="487">
        <f t="shared" si="60"/>
        <v>0</v>
      </c>
      <c r="F140" s="1294">
        <f t="shared" si="60"/>
        <v>0</v>
      </c>
      <c r="G140" s="487">
        <f t="shared" si="60"/>
        <v>0</v>
      </c>
    </row>
    <row r="141" spans="2:7" ht="15" customHeight="1" thickTop="1">
      <c r="B141" s="1190" t="s">
        <v>455</v>
      </c>
      <c r="C141" s="1875" t="s">
        <v>648</v>
      </c>
      <c r="D141" s="1876"/>
      <c r="E141" s="1876"/>
      <c r="F141" s="1876"/>
      <c r="G141" s="1877"/>
    </row>
    <row r="142" spans="2:7" ht="15" customHeight="1">
      <c r="B142" s="530" t="s">
        <v>451</v>
      </c>
      <c r="C142" s="850"/>
      <c r="D142" s="850"/>
      <c r="E142" s="850"/>
      <c r="F142" s="1292"/>
      <c r="G142" s="850"/>
    </row>
    <row r="143" spans="2:7" ht="15" customHeight="1">
      <c r="B143" s="530" t="s">
        <v>452</v>
      </c>
      <c r="C143" s="848"/>
      <c r="D143" s="848"/>
      <c r="E143" s="848"/>
      <c r="F143" s="1293"/>
      <c r="G143" s="848"/>
    </row>
    <row r="144" spans="2:7" ht="15" customHeight="1" thickBot="1">
      <c r="B144" s="531" t="s">
        <v>368</v>
      </c>
      <c r="C144" s="487">
        <f t="shared" ref="C144:G144" si="61">C142*C143</f>
        <v>0</v>
      </c>
      <c r="D144" s="487">
        <f t="shared" si="61"/>
        <v>0</v>
      </c>
      <c r="E144" s="487">
        <f t="shared" si="61"/>
        <v>0</v>
      </c>
      <c r="F144" s="1294">
        <f t="shared" si="61"/>
        <v>0</v>
      </c>
      <c r="G144" s="487">
        <f t="shared" si="61"/>
        <v>0</v>
      </c>
    </row>
    <row r="145" spans="2:7" ht="15" customHeight="1" thickTop="1">
      <c r="B145" s="1190" t="s">
        <v>475</v>
      </c>
      <c r="C145" s="1875" t="s">
        <v>648</v>
      </c>
      <c r="D145" s="1876"/>
      <c r="E145" s="1876"/>
      <c r="F145" s="1876"/>
      <c r="G145" s="1877"/>
    </row>
    <row r="146" spans="2:7" ht="15" customHeight="1">
      <c r="B146" s="530" t="s">
        <v>451</v>
      </c>
      <c r="C146" s="850"/>
      <c r="D146" s="850"/>
      <c r="E146" s="850"/>
      <c r="F146" s="1292"/>
      <c r="G146" s="850"/>
    </row>
    <row r="147" spans="2:7" ht="15" customHeight="1">
      <c r="B147" s="530" t="s">
        <v>452</v>
      </c>
      <c r="C147" s="848"/>
      <c r="D147" s="848"/>
      <c r="E147" s="848"/>
      <c r="F147" s="1293"/>
      <c r="G147" s="848"/>
    </row>
    <row r="148" spans="2:7" ht="15" customHeight="1" thickBot="1">
      <c r="B148" s="531" t="s">
        <v>368</v>
      </c>
      <c r="C148" s="487">
        <f t="shared" ref="C148:G148" si="62">C146*C147</f>
        <v>0</v>
      </c>
      <c r="D148" s="487">
        <f t="shared" si="62"/>
        <v>0</v>
      </c>
      <c r="E148" s="487">
        <f t="shared" si="62"/>
        <v>0</v>
      </c>
      <c r="F148" s="1294">
        <f t="shared" si="62"/>
        <v>0</v>
      </c>
      <c r="G148" s="487">
        <f t="shared" si="62"/>
        <v>0</v>
      </c>
    </row>
    <row r="149" spans="2:7" ht="15" customHeight="1" thickTop="1">
      <c r="B149" s="1190" t="s">
        <v>640</v>
      </c>
      <c r="C149" s="1875" t="s">
        <v>648</v>
      </c>
      <c r="D149" s="1876"/>
      <c r="E149" s="1876"/>
      <c r="F149" s="1876"/>
      <c r="G149" s="1877"/>
    </row>
    <row r="150" spans="2:7" ht="15" customHeight="1">
      <c r="B150" s="530" t="s">
        <v>451</v>
      </c>
      <c r="C150" s="850"/>
      <c r="D150" s="850"/>
      <c r="E150" s="850"/>
      <c r="F150" s="1292"/>
      <c r="G150" s="850"/>
    </row>
    <row r="151" spans="2:7" ht="15" customHeight="1">
      <c r="B151" s="530" t="s">
        <v>452</v>
      </c>
      <c r="C151" s="848"/>
      <c r="D151" s="848"/>
      <c r="E151" s="848"/>
      <c r="F151" s="1293"/>
      <c r="G151" s="848"/>
    </row>
    <row r="152" spans="2:7" ht="15" customHeight="1" thickBot="1">
      <c r="B152" s="531" t="s">
        <v>368</v>
      </c>
      <c r="C152" s="487">
        <f t="shared" ref="C152:E152" si="63">C150*C151</f>
        <v>0</v>
      </c>
      <c r="D152" s="487">
        <f t="shared" si="63"/>
        <v>0</v>
      </c>
      <c r="E152" s="487">
        <f t="shared" si="63"/>
        <v>0</v>
      </c>
      <c r="F152" s="1294">
        <f>F150*F151</f>
        <v>0</v>
      </c>
      <c r="G152" s="487">
        <f>G150*G151</f>
        <v>0</v>
      </c>
    </row>
    <row r="153" spans="2:7" ht="15" customHeight="1" thickTop="1">
      <c r="B153" s="1191" t="s">
        <v>642</v>
      </c>
      <c r="C153" s="1875" t="s">
        <v>648</v>
      </c>
      <c r="D153" s="1876"/>
      <c r="E153" s="1876"/>
      <c r="F153" s="1876"/>
      <c r="G153" s="1877"/>
    </row>
    <row r="154" spans="2:7" ht="15" customHeight="1">
      <c r="B154" s="530" t="s">
        <v>451</v>
      </c>
      <c r="C154" s="850"/>
      <c r="D154" s="850"/>
      <c r="E154" s="850"/>
      <c r="F154" s="1292"/>
      <c r="G154" s="850"/>
    </row>
    <row r="155" spans="2:7" ht="15" customHeight="1">
      <c r="B155" s="530" t="s">
        <v>452</v>
      </c>
      <c r="C155" s="848"/>
      <c r="D155" s="848"/>
      <c r="E155" s="848"/>
      <c r="F155" s="1293"/>
      <c r="G155" s="848"/>
    </row>
    <row r="156" spans="2:7" ht="15" customHeight="1" thickBot="1">
      <c r="B156" s="531" t="s">
        <v>368</v>
      </c>
      <c r="C156" s="487">
        <f t="shared" ref="C156:G156" si="64">C154*C155</f>
        <v>0</v>
      </c>
      <c r="D156" s="487">
        <f t="shared" si="64"/>
        <v>0</v>
      </c>
      <c r="E156" s="487">
        <f t="shared" si="64"/>
        <v>0</v>
      </c>
      <c r="F156" s="1294">
        <f t="shared" si="64"/>
        <v>0</v>
      </c>
      <c r="G156" s="487">
        <f t="shared" si="64"/>
        <v>0</v>
      </c>
    </row>
    <row r="157" spans="2:7" ht="15" customHeight="1" thickTop="1">
      <c r="B157" s="1190" t="s">
        <v>450</v>
      </c>
      <c r="C157" s="1875" t="s">
        <v>649</v>
      </c>
      <c r="D157" s="1876"/>
      <c r="E157" s="1876"/>
      <c r="F157" s="1876"/>
      <c r="G157" s="1877"/>
    </row>
    <row r="158" spans="2:7" ht="15" customHeight="1">
      <c r="B158" s="530" t="s">
        <v>365</v>
      </c>
      <c r="C158" s="850">
        <v>35</v>
      </c>
      <c r="D158" s="850">
        <v>52.2</v>
      </c>
      <c r="E158" s="850">
        <v>105</v>
      </c>
      <c r="F158" s="1292">
        <v>105</v>
      </c>
      <c r="G158" s="850">
        <f>F158</f>
        <v>105</v>
      </c>
    </row>
    <row r="159" spans="2:7" ht="15" customHeight="1">
      <c r="B159" s="530" t="s">
        <v>366</v>
      </c>
      <c r="C159" s="848">
        <v>0.83</v>
      </c>
      <c r="D159" s="848">
        <v>0.7</v>
      </c>
      <c r="E159" s="848">
        <v>0.872</v>
      </c>
      <c r="F159" s="1293">
        <f>E159*1.04</f>
        <v>0.90688000000000002</v>
      </c>
      <c r="G159" s="848">
        <f>F159*1.025</f>
        <v>0.92955199999999993</v>
      </c>
    </row>
    <row r="160" spans="2:7" ht="15" customHeight="1">
      <c r="B160" s="530" t="s">
        <v>365</v>
      </c>
      <c r="C160" s="850"/>
      <c r="D160" s="850">
        <v>35</v>
      </c>
      <c r="E160" s="850"/>
      <c r="F160" s="1292"/>
      <c r="G160" s="850"/>
    </row>
    <row r="161" spans="2:7" ht="15" customHeight="1">
      <c r="B161" s="530" t="s">
        <v>366</v>
      </c>
      <c r="C161" s="848"/>
      <c r="D161" s="848">
        <v>0.97</v>
      </c>
      <c r="E161" s="848"/>
      <c r="F161" s="1293"/>
      <c r="G161" s="848"/>
    </row>
    <row r="162" spans="2:7" ht="15" customHeight="1" thickBot="1">
      <c r="B162" s="531" t="s">
        <v>368</v>
      </c>
      <c r="C162" s="487">
        <f t="shared" ref="C162:D162" si="65">(C158*C159)+(C160*C161)</f>
        <v>29.049999999999997</v>
      </c>
      <c r="D162" s="487">
        <f t="shared" si="65"/>
        <v>70.489999999999995</v>
      </c>
      <c r="E162" s="487">
        <f t="shared" ref="E162:G162" si="66">(E158*E159)+(E160*E161)</f>
        <v>91.56</v>
      </c>
      <c r="F162" s="1294">
        <f t="shared" si="66"/>
        <v>95.222400000000007</v>
      </c>
      <c r="G162" s="487">
        <f t="shared" si="66"/>
        <v>97.602959999999996</v>
      </c>
    </row>
    <row r="163" spans="2:7" ht="15" customHeight="1" thickTop="1">
      <c r="B163" s="1190" t="s">
        <v>633</v>
      </c>
      <c r="C163" s="1875" t="s">
        <v>649</v>
      </c>
      <c r="D163" s="1876"/>
      <c r="E163" s="1876"/>
      <c r="F163" s="1876"/>
      <c r="G163" s="1877"/>
    </row>
    <row r="164" spans="2:7" ht="15" customHeight="1">
      <c r="B164" s="530" t="s">
        <v>365</v>
      </c>
      <c r="C164" s="850">
        <v>35</v>
      </c>
      <c r="D164" s="850"/>
      <c r="E164" s="850"/>
      <c r="F164" s="1292"/>
      <c r="G164" s="850"/>
    </row>
    <row r="165" spans="2:7" ht="15" customHeight="1">
      <c r="B165" s="530" t="s">
        <v>366</v>
      </c>
      <c r="C165" s="848">
        <v>0.83</v>
      </c>
      <c r="D165" s="848"/>
      <c r="E165" s="848"/>
      <c r="F165" s="1293"/>
      <c r="G165" s="848"/>
    </row>
    <row r="166" spans="2:7" ht="15" customHeight="1">
      <c r="B166" s="530" t="s">
        <v>365</v>
      </c>
      <c r="C166" s="850"/>
      <c r="D166" s="850"/>
      <c r="E166" s="850"/>
      <c r="F166" s="1292"/>
      <c r="G166" s="850"/>
    </row>
    <row r="167" spans="2:7" ht="15" customHeight="1">
      <c r="B167" s="530" t="s">
        <v>366</v>
      </c>
      <c r="C167" s="848"/>
      <c r="D167" s="848"/>
      <c r="E167" s="848"/>
      <c r="F167" s="1293"/>
      <c r="G167" s="848"/>
    </row>
    <row r="168" spans="2:7" ht="15" customHeight="1" thickBot="1">
      <c r="B168" s="531" t="s">
        <v>368</v>
      </c>
      <c r="C168" s="487">
        <f t="shared" ref="C168:G168" si="67">(C164*C165)+(C166*C167)</f>
        <v>29.049999999999997</v>
      </c>
      <c r="D168" s="487">
        <f t="shared" si="67"/>
        <v>0</v>
      </c>
      <c r="E168" s="487">
        <f t="shared" si="67"/>
        <v>0</v>
      </c>
      <c r="F168" s="1294">
        <f t="shared" si="67"/>
        <v>0</v>
      </c>
      <c r="G168" s="487">
        <f t="shared" si="67"/>
        <v>0</v>
      </c>
    </row>
    <row r="169" spans="2:7" ht="15" customHeight="1" thickTop="1">
      <c r="B169" s="1190" t="s">
        <v>457</v>
      </c>
      <c r="C169" s="1875" t="s">
        <v>649</v>
      </c>
      <c r="D169" s="1876"/>
      <c r="E169" s="1876"/>
      <c r="F169" s="1876"/>
      <c r="G169" s="1877"/>
    </row>
    <row r="170" spans="2:7" ht="15" customHeight="1">
      <c r="B170" s="530" t="s">
        <v>365</v>
      </c>
      <c r="C170" s="850"/>
      <c r="D170" s="850">
        <v>104.46</v>
      </c>
      <c r="E170" s="850"/>
      <c r="F170" s="1292">
        <v>104.46</v>
      </c>
      <c r="G170" s="850">
        <f>F170</f>
        <v>104.46</v>
      </c>
    </row>
    <row r="171" spans="2:7" ht="15" customHeight="1">
      <c r="B171" s="530" t="s">
        <v>366</v>
      </c>
      <c r="C171" s="848"/>
      <c r="D171" s="848">
        <v>0.78</v>
      </c>
      <c r="E171" s="848"/>
      <c r="F171" s="1293">
        <f>0.78*1.04</f>
        <v>0.81120000000000003</v>
      </c>
      <c r="G171" s="848">
        <f>F171*1.025</f>
        <v>0.83148</v>
      </c>
    </row>
    <row r="172" spans="2:7" ht="15" customHeight="1">
      <c r="B172" s="530" t="s">
        <v>365</v>
      </c>
      <c r="C172" s="850"/>
      <c r="D172" s="850"/>
      <c r="E172" s="850"/>
      <c r="F172" s="1292"/>
      <c r="G172" s="850"/>
    </row>
    <row r="173" spans="2:7" ht="15" customHeight="1">
      <c r="B173" s="530" t="s">
        <v>366</v>
      </c>
      <c r="C173" s="848"/>
      <c r="D173" s="848"/>
      <c r="E173" s="848"/>
      <c r="F173" s="1293"/>
      <c r="G173" s="848"/>
    </row>
    <row r="174" spans="2:7" ht="15" customHeight="1" thickBot="1">
      <c r="B174" s="531" t="s">
        <v>368</v>
      </c>
      <c r="C174" s="487">
        <f t="shared" ref="C174:F174" si="68">(C170*C171)+(C172*C173)</f>
        <v>0</v>
      </c>
      <c r="D174" s="487">
        <f t="shared" si="68"/>
        <v>81.478799999999993</v>
      </c>
      <c r="E174" s="487">
        <f t="shared" si="68"/>
        <v>0</v>
      </c>
      <c r="F174" s="1294">
        <f t="shared" si="68"/>
        <v>84.737951999999993</v>
      </c>
      <c r="G174" s="487">
        <f t="shared" ref="G174" si="69">(G170*G171)+(G172*G173)</f>
        <v>86.856400799999989</v>
      </c>
    </row>
    <row r="175" spans="2:7" ht="15" customHeight="1" thickTop="1">
      <c r="B175" s="1190" t="s">
        <v>642</v>
      </c>
      <c r="C175" s="1875" t="s">
        <v>649</v>
      </c>
      <c r="D175" s="1876"/>
      <c r="E175" s="1876"/>
      <c r="F175" s="1876"/>
      <c r="G175" s="1877"/>
    </row>
    <row r="176" spans="2:7" ht="15" customHeight="1">
      <c r="B176" s="530" t="s">
        <v>365</v>
      </c>
      <c r="C176" s="850"/>
      <c r="D176" s="850">
        <v>52.2</v>
      </c>
      <c r="E176" s="850"/>
      <c r="F176" s="1292">
        <v>52.2</v>
      </c>
      <c r="G176" s="850">
        <f>F176</f>
        <v>52.2</v>
      </c>
    </row>
    <row r="177" spans="2:11" ht="15" customHeight="1">
      <c r="B177" s="530" t="s">
        <v>366</v>
      </c>
      <c r="C177" s="848"/>
      <c r="D177" s="848">
        <v>0.7</v>
      </c>
      <c r="E177" s="848"/>
      <c r="F177" s="1293">
        <f>0.7*1.04</f>
        <v>0.72799999999999998</v>
      </c>
      <c r="G177" s="848">
        <f>F177*1.025</f>
        <v>0.74619999999999986</v>
      </c>
    </row>
    <row r="178" spans="2:11" ht="15" customHeight="1">
      <c r="B178" s="530" t="s">
        <v>365</v>
      </c>
      <c r="C178" s="850"/>
      <c r="D178" s="850">
        <v>35</v>
      </c>
      <c r="E178" s="850"/>
      <c r="F178" s="1292">
        <v>35</v>
      </c>
      <c r="G178" s="850">
        <f>F178</f>
        <v>35</v>
      </c>
    </row>
    <row r="179" spans="2:11" ht="15" customHeight="1">
      <c r="B179" s="530" t="s">
        <v>366</v>
      </c>
      <c r="C179" s="848"/>
      <c r="D179" s="848">
        <v>0.97</v>
      </c>
      <c r="E179" s="848"/>
      <c r="F179" s="1293">
        <f>0.97*1.04</f>
        <v>1.0087999999999999</v>
      </c>
      <c r="G179" s="848">
        <f>F179*1.025</f>
        <v>1.0340199999999997</v>
      </c>
    </row>
    <row r="180" spans="2:11" ht="15" customHeight="1" thickBot="1">
      <c r="B180" s="531" t="s">
        <v>368</v>
      </c>
      <c r="C180" s="487">
        <f t="shared" ref="C180:F180" si="70">(C176*C177)+(C178*C179)</f>
        <v>0</v>
      </c>
      <c r="D180" s="487">
        <f t="shared" si="70"/>
        <v>70.489999999999995</v>
      </c>
      <c r="E180" s="487">
        <f t="shared" si="70"/>
        <v>0</v>
      </c>
      <c r="F180" s="1294">
        <f t="shared" si="70"/>
        <v>73.309600000000003</v>
      </c>
      <c r="G180" s="487">
        <f t="shared" ref="G180" si="71">(G176*G177)+(G178*G179)</f>
        <v>75.14233999999999</v>
      </c>
    </row>
    <row r="181" spans="2:11" ht="15" customHeight="1" thickTop="1">
      <c r="B181" s="1190" t="s">
        <v>450</v>
      </c>
      <c r="C181" s="1875" t="s">
        <v>762</v>
      </c>
      <c r="D181" s="1876"/>
      <c r="E181" s="1876"/>
      <c r="F181" s="1876"/>
      <c r="G181" s="1877"/>
    </row>
    <row r="182" spans="2:11" ht="15" customHeight="1">
      <c r="B182" s="530" t="s">
        <v>760</v>
      </c>
      <c r="C182" s="851"/>
      <c r="D182" s="851"/>
      <c r="E182" s="851"/>
      <c r="F182" s="1297"/>
      <c r="G182" s="851"/>
    </row>
    <row r="183" spans="2:11" ht="15" customHeight="1">
      <c r="B183" s="530" t="s">
        <v>761</v>
      </c>
      <c r="C183" s="848"/>
      <c r="D183" s="848"/>
      <c r="E183" s="848"/>
      <c r="F183" s="1293"/>
      <c r="G183" s="848"/>
    </row>
    <row r="184" spans="2:11" ht="15" customHeight="1">
      <c r="B184" s="530" t="s">
        <v>760</v>
      </c>
      <c r="C184" s="851"/>
      <c r="D184" s="851"/>
      <c r="E184" s="851"/>
      <c r="F184" s="1297"/>
      <c r="G184" s="851"/>
    </row>
    <row r="185" spans="2:11" ht="15" customHeight="1">
      <c r="B185" s="530" t="s">
        <v>761</v>
      </c>
      <c r="C185" s="848"/>
      <c r="D185" s="848"/>
      <c r="E185" s="848"/>
      <c r="F185" s="1293"/>
      <c r="G185" s="848"/>
      <c r="K185" s="491"/>
    </row>
    <row r="186" spans="2:11" ht="15" customHeight="1" thickBot="1">
      <c r="B186" s="531" t="s">
        <v>368</v>
      </c>
      <c r="C186" s="487">
        <f t="shared" ref="C186:G186" si="72">(C182*C183)+(C184*C185)</f>
        <v>0</v>
      </c>
      <c r="D186" s="487">
        <f t="shared" si="72"/>
        <v>0</v>
      </c>
      <c r="E186" s="487">
        <f t="shared" si="72"/>
        <v>0</v>
      </c>
      <c r="F186" s="1294">
        <f t="shared" si="72"/>
        <v>0</v>
      </c>
      <c r="G186" s="487">
        <f t="shared" si="72"/>
        <v>0</v>
      </c>
    </row>
    <row r="187" spans="2:11" ht="15" customHeight="1" thickTop="1">
      <c r="B187" s="1190" t="s">
        <v>457</v>
      </c>
      <c r="C187" s="1875" t="s">
        <v>762</v>
      </c>
      <c r="D187" s="1876"/>
      <c r="E187" s="1876"/>
      <c r="F187" s="1876"/>
      <c r="G187" s="1877"/>
    </row>
    <row r="188" spans="2:11" ht="15" customHeight="1">
      <c r="B188" s="530" t="s">
        <v>760</v>
      </c>
      <c r="C188" s="851"/>
      <c r="D188" s="851"/>
      <c r="E188" s="851"/>
      <c r="F188" s="1297"/>
      <c r="G188" s="851"/>
    </row>
    <row r="189" spans="2:11" ht="15" customHeight="1">
      <c r="B189" s="530" t="s">
        <v>761</v>
      </c>
      <c r="C189" s="848"/>
      <c r="D189" s="848"/>
      <c r="E189" s="848"/>
      <c r="F189" s="1293"/>
      <c r="G189" s="848"/>
    </row>
    <row r="190" spans="2:11" ht="15" customHeight="1">
      <c r="B190" s="530" t="s">
        <v>760</v>
      </c>
      <c r="C190" s="851"/>
      <c r="D190" s="851"/>
      <c r="E190" s="851"/>
      <c r="F190" s="1297"/>
      <c r="G190" s="851"/>
    </row>
    <row r="191" spans="2:11" ht="15" customHeight="1">
      <c r="B191" s="530" t="s">
        <v>761</v>
      </c>
      <c r="C191" s="848"/>
      <c r="D191" s="848"/>
      <c r="E191" s="848"/>
      <c r="F191" s="1293"/>
      <c r="G191" s="848"/>
    </row>
    <row r="192" spans="2:11" ht="15" customHeight="1" thickBot="1">
      <c r="B192" s="531" t="s">
        <v>368</v>
      </c>
      <c r="C192" s="487">
        <f t="shared" ref="C192:G192" si="73">(C188*C189)+(C190*C191)</f>
        <v>0</v>
      </c>
      <c r="D192" s="487">
        <f t="shared" si="73"/>
        <v>0</v>
      </c>
      <c r="E192" s="487">
        <f t="shared" si="73"/>
        <v>0</v>
      </c>
      <c r="F192" s="1294">
        <f t="shared" si="73"/>
        <v>0</v>
      </c>
      <c r="G192" s="487">
        <f t="shared" si="73"/>
        <v>0</v>
      </c>
    </row>
    <row r="193" spans="2:10" ht="15" customHeight="1" thickTop="1">
      <c r="B193" s="1190" t="s">
        <v>455</v>
      </c>
      <c r="C193" s="1875" t="s">
        <v>762</v>
      </c>
      <c r="D193" s="1876"/>
      <c r="E193" s="1876"/>
      <c r="F193" s="1876"/>
      <c r="G193" s="1877"/>
    </row>
    <row r="194" spans="2:10" ht="15" customHeight="1">
      <c r="B194" s="530" t="s">
        <v>760</v>
      </c>
      <c r="C194" s="851"/>
      <c r="D194" s="851"/>
      <c r="E194" s="851"/>
      <c r="F194" s="1297"/>
      <c r="G194" s="851"/>
    </row>
    <row r="195" spans="2:10" ht="15" customHeight="1">
      <c r="B195" s="530" t="s">
        <v>761</v>
      </c>
      <c r="C195" s="848"/>
      <c r="D195" s="848"/>
      <c r="E195" s="848"/>
      <c r="F195" s="1293"/>
      <c r="G195" s="848"/>
    </row>
    <row r="196" spans="2:10" ht="15" customHeight="1">
      <c r="B196" s="530" t="s">
        <v>760</v>
      </c>
      <c r="C196" s="851"/>
      <c r="D196" s="851"/>
      <c r="E196" s="851"/>
      <c r="F196" s="1297"/>
      <c r="G196" s="851"/>
    </row>
    <row r="197" spans="2:10" ht="15" customHeight="1">
      <c r="B197" s="530" t="s">
        <v>761</v>
      </c>
      <c r="C197" s="848"/>
      <c r="D197" s="848"/>
      <c r="E197" s="848"/>
      <c r="F197" s="1293"/>
      <c r="G197" s="848"/>
    </row>
    <row r="198" spans="2:10" ht="15" customHeight="1" thickBot="1">
      <c r="B198" s="531" t="s">
        <v>368</v>
      </c>
      <c r="C198" s="487">
        <f t="shared" ref="C198:G198" si="74">(C194*C195)+(C196*C197)</f>
        <v>0</v>
      </c>
      <c r="D198" s="487">
        <f t="shared" si="74"/>
        <v>0</v>
      </c>
      <c r="E198" s="487">
        <f t="shared" si="74"/>
        <v>0</v>
      </c>
      <c r="F198" s="1294">
        <f t="shared" si="74"/>
        <v>0</v>
      </c>
      <c r="G198" s="487">
        <f t="shared" si="74"/>
        <v>0</v>
      </c>
    </row>
    <row r="199" spans="2:10" ht="15" customHeight="1" thickTop="1">
      <c r="B199" s="1190" t="s">
        <v>475</v>
      </c>
      <c r="C199" s="1875" t="s">
        <v>762</v>
      </c>
      <c r="D199" s="1876"/>
      <c r="E199" s="1876"/>
      <c r="F199" s="1876"/>
      <c r="G199" s="1877"/>
    </row>
    <row r="200" spans="2:10" ht="15" customHeight="1">
      <c r="B200" s="530" t="s">
        <v>760</v>
      </c>
      <c r="C200" s="851"/>
      <c r="D200" s="851"/>
      <c r="E200" s="851"/>
      <c r="F200" s="1297"/>
      <c r="G200" s="851"/>
    </row>
    <row r="201" spans="2:10" ht="15" customHeight="1">
      <c r="B201" s="530" t="s">
        <v>761</v>
      </c>
      <c r="C201" s="848"/>
      <c r="D201" s="848"/>
      <c r="E201" s="848"/>
      <c r="F201" s="1293"/>
      <c r="G201" s="848"/>
    </row>
    <row r="202" spans="2:10" ht="15" customHeight="1">
      <c r="B202" s="530" t="s">
        <v>760</v>
      </c>
      <c r="C202" s="851"/>
      <c r="D202" s="851"/>
      <c r="E202" s="851"/>
      <c r="F202" s="1297"/>
      <c r="G202" s="851"/>
    </row>
    <row r="203" spans="2:10" ht="15" customHeight="1">
      <c r="B203" s="530" t="s">
        <v>761</v>
      </c>
      <c r="C203" s="848"/>
      <c r="D203" s="848"/>
      <c r="E203" s="848"/>
      <c r="F203" s="1293"/>
      <c r="G203" s="848"/>
    </row>
    <row r="204" spans="2:10" ht="15" customHeight="1" thickBot="1">
      <c r="B204" s="532" t="s">
        <v>368</v>
      </c>
      <c r="C204" s="490">
        <f t="shared" ref="C204:G204" si="75">(C200*C201)+(C202*C203)</f>
        <v>0</v>
      </c>
      <c r="D204" s="490">
        <f t="shared" si="75"/>
        <v>0</v>
      </c>
      <c r="E204" s="490">
        <f t="shared" si="75"/>
        <v>0</v>
      </c>
      <c r="F204" s="1298">
        <f t="shared" si="75"/>
        <v>0</v>
      </c>
      <c r="G204" s="490">
        <f t="shared" si="75"/>
        <v>0</v>
      </c>
    </row>
    <row r="205" spans="2:10" ht="15" customHeight="1" thickBot="1">
      <c r="B205" s="1303" t="s">
        <v>476</v>
      </c>
      <c r="C205" s="1304">
        <f t="shared" ref="C205:D205" si="76">C8+C14+C20</f>
        <v>1862</v>
      </c>
      <c r="D205" s="1304">
        <f t="shared" si="76"/>
        <v>1500.24</v>
      </c>
      <c r="E205" s="1304">
        <f>E8+E14+E20</f>
        <v>1778.84</v>
      </c>
      <c r="F205" s="1304">
        <f>F8+F14+F20</f>
        <v>2119.4992000000002</v>
      </c>
      <c r="G205" s="1304">
        <f>G8+G14+G20</f>
        <v>2172.48668</v>
      </c>
    </row>
    <row r="206" spans="2:10" ht="15" customHeight="1">
      <c r="B206" s="1305" t="s">
        <v>1295</v>
      </c>
      <c r="C206" s="1306">
        <f>(C14+C20)*'3. Üldiseloomustus'!D81</f>
        <v>0</v>
      </c>
      <c r="D206" s="1306">
        <f>(D14+D20)*'3. Üldiseloomustus'!E81</f>
        <v>0</v>
      </c>
      <c r="E206" s="1306">
        <f>(E14+E20)*'3. Üldiseloomustus'!F81</f>
        <v>42.326200000000007</v>
      </c>
      <c r="F206" s="1306">
        <f>(F14+F20)*'3. Üldiseloomustus'!G81</f>
        <v>49.050019200000008</v>
      </c>
      <c r="G206" s="1306">
        <f>(G14+G20)*'3. Üldiseloomustus'!H81</f>
        <v>50.276269680000006</v>
      </c>
      <c r="I206" s="1893" t="s">
        <v>1197</v>
      </c>
      <c r="J206" s="1894"/>
    </row>
    <row r="207" spans="2:10" ht="15" customHeight="1" thickBot="1">
      <c r="B207" s="1301" t="s">
        <v>477</v>
      </c>
      <c r="C207" s="1302">
        <f>C26+C32+C38+C42+C46+C52+C56+C60+C64+C68+C72+C76+C80+C84+C88+C92+C96+C100+C106+C112+C116+C120+C124+C128+C132+C136+C140+C144+C148+C152+C156+C162+C168+C174+C180+C186+C192+C198+C204</f>
        <v>4053.59</v>
      </c>
      <c r="D207" s="1302">
        <f>D26+D32+D38+D42+D46+D52+D56+D60+D64+D68+D72+D76+D80+D84+D88+D92+D96+D100+D106+D112+D116+D120+D124+D128+D132+D136+D140+D144+D148+D152+D156+D162+D168+D174+D180+D186+D192+D198+D204</f>
        <v>4756.8587999999991</v>
      </c>
      <c r="E207" s="1302">
        <f>E26+E32+E38+E42+E46+E52+E56+E60+E64+E68+E72+E76+E80+E84+E88+E92+E96+E100+E106+E112+E116+E120+E124+E128+E132+E136+E140+E144+E148+E152+E156+E162+E168+E174+E180+E186+E192+E198+E204</f>
        <v>4271.585</v>
      </c>
      <c r="F207" s="1302">
        <f>F26+F32+F38+F42+F46+F52+F56+F60+F64+F68+F72+F76+F80+F84+F88+F92+F96+F100+F106+F112+F116+F120+F124+F128+F132+F136+F140+F144+F148+F152+F156+F162+F168+F174+F180+F186+F192+F198+F204</f>
        <v>5083.5151119999991</v>
      </c>
      <c r="G207" s="1302">
        <f>G26+G32+G38+G42+G46+G52+G56+G60+G64+G68+G72+G76+G80+G84+G88+G92+G96+G100+G106+G112+G116+G120+G124+G128+G132+G136+G140+G144+G148+G152+G156+G162+G168+G174+G180+G186+G192+G198+G204</f>
        <v>5210.6029897999997</v>
      </c>
      <c r="I207" s="1895"/>
      <c r="J207" s="1896"/>
    </row>
    <row r="208" spans="2:10" ht="15" customHeight="1">
      <c r="B208" s="839" t="s">
        <v>367</v>
      </c>
      <c r="C208" s="840">
        <f>C205+C207</f>
        <v>5915.59</v>
      </c>
      <c r="D208" s="1195">
        <f>D205+D207</f>
        <v>6257.0987999999988</v>
      </c>
      <c r="E208" s="1195">
        <f>E205+E207</f>
        <v>6050.4250000000002</v>
      </c>
      <c r="F208" s="841">
        <f>F205+F207</f>
        <v>7203.0143119999993</v>
      </c>
      <c r="G208" s="841">
        <f>G205+G207</f>
        <v>7383.0896697999997</v>
      </c>
      <c r="I208" s="1067" t="s">
        <v>379</v>
      </c>
      <c r="J208" s="1068" t="s">
        <v>383</v>
      </c>
    </row>
    <row r="209" spans="2:10" ht="15" customHeight="1" thickBot="1">
      <c r="B209" s="1193" t="s">
        <v>1183</v>
      </c>
      <c r="C209" s="1194">
        <f>C208-C206</f>
        <v>5915.59</v>
      </c>
      <c r="D209" s="1194">
        <f t="shared" ref="D209:F209" si="77">D208-D206</f>
        <v>6257.0987999999988</v>
      </c>
      <c r="E209" s="1194">
        <f t="shared" si="77"/>
        <v>6008.0987999999998</v>
      </c>
      <c r="F209" s="1197">
        <f t="shared" si="77"/>
        <v>7153.9642927999994</v>
      </c>
      <c r="G209" s="1197">
        <f t="shared" ref="G209" si="78">G208-G206</f>
        <v>7332.8134001199996</v>
      </c>
      <c r="I209" s="1069">
        <f>IF(G209&gt;0,ROUND((G207/G209),2),"0%")</f>
        <v>0.71</v>
      </c>
      <c r="J209" s="1070">
        <f>IF(G209&gt;0,ROUND(((G205-G206)/G209),2),"0%")</f>
        <v>0.28999999999999998</v>
      </c>
    </row>
    <row r="210" spans="2:10" ht="15" customHeight="1">
      <c r="B210" s="1193" t="s">
        <v>1184</v>
      </c>
      <c r="C210" s="1194">
        <f>C206</f>
        <v>0</v>
      </c>
      <c r="D210" s="1194">
        <f t="shared" ref="D210:F210" si="79">D206</f>
        <v>0</v>
      </c>
      <c r="E210" s="1194">
        <f t="shared" si="79"/>
        <v>42.326200000000007</v>
      </c>
      <c r="F210" s="1197">
        <f t="shared" si="79"/>
        <v>49.050019200000008</v>
      </c>
      <c r="G210" s="1197">
        <f t="shared" ref="G210" si="80">G206</f>
        <v>50.276269680000006</v>
      </c>
      <c r="I210" s="1196"/>
      <c r="J210" s="1196"/>
    </row>
    <row r="211" spans="2:10" ht="15" customHeight="1">
      <c r="C211" s="492"/>
      <c r="D211" s="492"/>
      <c r="E211" s="492"/>
      <c r="I211" s="498"/>
      <c r="J211" s="498"/>
    </row>
    <row r="212" spans="2:10" ht="15" customHeight="1">
      <c r="B212" s="426" t="s">
        <v>1188</v>
      </c>
      <c r="C212" s="493">
        <f>'2. Kasumiaruanne'!C44</f>
        <v>5915.59</v>
      </c>
      <c r="D212" s="493">
        <f>'2. Kasumiaruanne'!G44</f>
        <v>6257.0999999999995</v>
      </c>
      <c r="E212" s="493">
        <f>'2. Kasumiaruanne'!K44</f>
        <v>6050.4250000000002</v>
      </c>
      <c r="F212" s="493">
        <f>'2. Kasumiaruanne'!O44</f>
        <v>7203.0143119999993</v>
      </c>
      <c r="G212" s="493">
        <f>'2. Kasumiaruanne'!S44</f>
        <v>7383.0896697999997</v>
      </c>
      <c r="I212" s="498"/>
      <c r="J212" s="498"/>
    </row>
    <row r="213" spans="2:10" ht="15" customHeight="1">
      <c r="B213" s="426" t="s">
        <v>360</v>
      </c>
      <c r="C213" s="493">
        <f t="shared" ref="C213:D213" si="81">C208-C212</f>
        <v>0</v>
      </c>
      <c r="D213" s="493">
        <f t="shared" si="81"/>
        <v>-1.2000000006082701E-3</v>
      </c>
      <c r="E213" s="493">
        <f t="shared" ref="E213:F213" si="82">E208-E212</f>
        <v>0</v>
      </c>
      <c r="F213" s="493">
        <f t="shared" si="82"/>
        <v>0</v>
      </c>
      <c r="G213" s="493">
        <f t="shared" ref="G213" si="83">G208-G212</f>
        <v>0</v>
      </c>
    </row>
    <row r="214" spans="2:10">
      <c r="C214" s="493"/>
      <c r="D214" s="493"/>
      <c r="E214" s="493"/>
      <c r="F214" s="493"/>
      <c r="G214" s="493"/>
    </row>
    <row r="215" spans="2:10">
      <c r="B215" s="426" t="s">
        <v>754</v>
      </c>
      <c r="C215" s="493">
        <f>'2. Kasumiaruanne'!D44</f>
        <v>5915.59</v>
      </c>
      <c r="D215" s="493">
        <f>'2. Kasumiaruanne'!H44</f>
        <v>6257.0999999999995</v>
      </c>
      <c r="E215" s="493">
        <f>'2. Kasumiaruanne'!L44</f>
        <v>6008.0987999999998</v>
      </c>
      <c r="F215" s="493">
        <f>'2. Kasumiaruanne'!P44</f>
        <v>7153.9642927999994</v>
      </c>
      <c r="G215" s="493">
        <f>'2. Kasumiaruanne'!T44</f>
        <v>7332.8134001199996</v>
      </c>
    </row>
    <row r="216" spans="2:10">
      <c r="B216" s="426" t="s">
        <v>360</v>
      </c>
      <c r="C216" s="493">
        <f>C209-C215</f>
        <v>0</v>
      </c>
      <c r="D216" s="493">
        <f t="shared" ref="D216:F216" si="84">D209-D215</f>
        <v>-1.2000000006082701E-3</v>
      </c>
      <c r="E216" s="493">
        <f t="shared" si="84"/>
        <v>0</v>
      </c>
      <c r="F216" s="493">
        <f t="shared" si="84"/>
        <v>0</v>
      </c>
      <c r="G216" s="493">
        <f t="shared" ref="G216" si="85">G209-G215</f>
        <v>0</v>
      </c>
    </row>
    <row r="217" spans="2:10">
      <c r="B217" s="433"/>
      <c r="C217" s="493"/>
      <c r="D217" s="493"/>
      <c r="E217" s="493"/>
      <c r="F217" s="493"/>
      <c r="G217" s="493"/>
    </row>
    <row r="218" spans="2:10">
      <c r="B218" s="426" t="s">
        <v>755</v>
      </c>
      <c r="C218" s="493">
        <f>'2. Kasumiaruanne'!F44</f>
        <v>0</v>
      </c>
      <c r="D218" s="493">
        <f>'2. Kasumiaruanne'!J44</f>
        <v>0</v>
      </c>
      <c r="E218" s="493">
        <f>'2. Kasumiaruanne'!N44</f>
        <v>42.326200000000007</v>
      </c>
      <c r="F218" s="493">
        <f>'2. Kasumiaruanne'!R44</f>
        <v>49.050019200000008</v>
      </c>
      <c r="G218" s="493">
        <f>'2. Kasumiaruanne'!V44</f>
        <v>50.276269680000006</v>
      </c>
    </row>
    <row r="219" spans="2:10">
      <c r="B219" s="426" t="s">
        <v>360</v>
      </c>
      <c r="C219" s="493">
        <f>C210-C218</f>
        <v>0</v>
      </c>
      <c r="D219" s="493">
        <f t="shared" ref="D219:F219" si="86">D210-D218</f>
        <v>0</v>
      </c>
      <c r="E219" s="493">
        <f t="shared" si="86"/>
        <v>0</v>
      </c>
      <c r="F219" s="493">
        <f t="shared" si="86"/>
        <v>0</v>
      </c>
      <c r="G219" s="493">
        <f t="shared" ref="G219" si="87">G210-G218</f>
        <v>0</v>
      </c>
    </row>
    <row r="220" spans="2:10">
      <c r="C220" s="493"/>
      <c r="D220" s="493"/>
      <c r="E220" s="493"/>
      <c r="F220" s="493"/>
      <c r="G220" s="493"/>
    </row>
  </sheetData>
  <mergeCells count="43">
    <mergeCell ref="C199:G199"/>
    <mergeCell ref="I206:J207"/>
    <mergeCell ref="C69:G69"/>
    <mergeCell ref="C73:G73"/>
    <mergeCell ref="C77:G77"/>
    <mergeCell ref="C81:G81"/>
    <mergeCell ref="C85:G85"/>
    <mergeCell ref="C89:G89"/>
    <mergeCell ref="C169:G169"/>
    <mergeCell ref="C175:G175"/>
    <mergeCell ref="C181:G181"/>
    <mergeCell ref="C187:G187"/>
    <mergeCell ref="C193:G193"/>
    <mergeCell ref="C141:G141"/>
    <mergeCell ref="C145:G145"/>
    <mergeCell ref="C149:G149"/>
    <mergeCell ref="C157:G157"/>
    <mergeCell ref="C163:G163"/>
    <mergeCell ref="C93:G93"/>
    <mergeCell ref="C97:G97"/>
    <mergeCell ref="C101:G101"/>
    <mergeCell ref="C107:G107"/>
    <mergeCell ref="C113:G113"/>
    <mergeCell ref="C117:G117"/>
    <mergeCell ref="C121:G121"/>
    <mergeCell ref="C125:G125"/>
    <mergeCell ref="C129:G129"/>
    <mergeCell ref="C133:G133"/>
    <mergeCell ref="C137:G137"/>
    <mergeCell ref="C153:G153"/>
    <mergeCell ref="C3:G3"/>
    <mergeCell ref="C9:G9"/>
    <mergeCell ref="C15:G15"/>
    <mergeCell ref="C21:G21"/>
    <mergeCell ref="C27:G27"/>
    <mergeCell ref="C57:G57"/>
    <mergeCell ref="C61:G61"/>
    <mergeCell ref="C65:G65"/>
    <mergeCell ref="C33:G33"/>
    <mergeCell ref="C39:G39"/>
    <mergeCell ref="C43:G43"/>
    <mergeCell ref="C47:G47"/>
    <mergeCell ref="C53:G53"/>
  </mergeCells>
  <pageMargins left="0.7" right="0.7" top="0.75" bottom="0.75" header="0.3" footer="0.3"/>
  <pageSetup orientation="portrait" r:id="rId1"/>
  <ignoredErrors>
    <ignoredError sqref="D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AF35"/>
  <sheetViews>
    <sheetView zoomScale="80" zoomScaleNormal="80" workbookViewId="0">
      <pane xSplit="2" ySplit="6" topLeftCell="N7" activePane="bottomRight" state="frozen"/>
      <selection activeCell="AB8" sqref="AB8"/>
      <selection pane="topRight" activeCell="AB8" sqref="AB8"/>
      <selection pane="bottomLeft" activeCell="AB8" sqref="AB8"/>
      <selection pane="bottomRight" sqref="A1:XFD1"/>
    </sheetView>
  </sheetViews>
  <sheetFormatPr defaultRowHeight="14.4"/>
  <cols>
    <col min="1" max="1" width="8.6640625" style="141" customWidth="1"/>
    <col min="2" max="2" width="28.21875" style="141" customWidth="1"/>
    <col min="3" max="3" width="10.44140625" style="141" customWidth="1"/>
    <col min="4" max="4" width="11.33203125" style="141" customWidth="1"/>
    <col min="5" max="5" width="13" style="141" customWidth="1"/>
    <col min="6" max="6" width="12.33203125" style="141" customWidth="1"/>
    <col min="7" max="7" width="11.44140625" style="141" customWidth="1"/>
    <col min="8" max="8" width="10.33203125" style="141" customWidth="1"/>
    <col min="9" max="9" width="10.44140625" style="141" customWidth="1"/>
    <col min="10" max="10" width="11.33203125" style="141" customWidth="1"/>
    <col min="11" max="11" width="13" style="141" customWidth="1"/>
    <col min="12" max="12" width="12.33203125" style="141" customWidth="1"/>
    <col min="13" max="13" width="11.44140625" style="141" customWidth="1"/>
    <col min="14" max="14" width="10.33203125" style="141" customWidth="1"/>
    <col min="15" max="15" width="10.44140625" style="141" customWidth="1"/>
    <col min="16" max="16" width="11.33203125" style="141" customWidth="1"/>
    <col min="17" max="17" width="13" style="141" customWidth="1"/>
    <col min="18" max="18" width="12.33203125" style="141" customWidth="1"/>
    <col min="19" max="19" width="11.44140625" style="141" customWidth="1"/>
    <col min="20" max="20" width="10.33203125" style="141" customWidth="1"/>
    <col min="21" max="21" width="10.44140625" style="141" customWidth="1"/>
    <col min="22" max="22" width="11.33203125" style="141" customWidth="1"/>
    <col min="23" max="23" width="13" style="141" customWidth="1"/>
    <col min="24" max="24" width="12.33203125" style="141" customWidth="1"/>
    <col min="25" max="25" width="11.44140625" style="141" customWidth="1"/>
    <col min="26" max="26" width="10.33203125" style="141" customWidth="1"/>
    <col min="27" max="27" width="10.44140625" style="141" customWidth="1"/>
    <col min="28" max="28" width="11.33203125" style="141" customWidth="1"/>
    <col min="29" max="29" width="13" style="141" customWidth="1"/>
    <col min="30" max="30" width="12.33203125" style="141" customWidth="1"/>
    <col min="31" max="31" width="11.44140625" style="141" customWidth="1"/>
    <col min="32" max="32" width="10.33203125" style="141" customWidth="1"/>
    <col min="33" max="213" width="9.33203125" style="141"/>
    <col min="214" max="214" width="2.44140625" style="141" customWidth="1"/>
    <col min="215" max="215" width="16.6640625" style="141" customWidth="1"/>
    <col min="216" max="216" width="23.77734375" style="141" customWidth="1"/>
    <col min="217" max="217" width="5.109375" style="141" customWidth="1"/>
    <col min="218" max="218" width="18.33203125" style="141" customWidth="1"/>
    <col min="219" max="219" width="11.6640625" style="141" customWidth="1"/>
    <col min="220" max="220" width="11.77734375" style="141" customWidth="1"/>
    <col min="221" max="221" width="9.109375" style="141" customWidth="1"/>
    <col min="222" max="222" width="9.77734375" style="141" bestFit="1" customWidth="1"/>
    <col min="223" max="223" width="9.6640625" style="141" customWidth="1"/>
    <col min="224" max="225" width="12" style="141" customWidth="1"/>
    <col min="226" max="226" width="11.109375" style="141" customWidth="1"/>
    <col min="227" max="227" width="5.33203125" style="141" customWidth="1"/>
    <col min="228" max="228" width="9.6640625" style="141" customWidth="1"/>
    <col min="229" max="229" width="10.6640625" style="141" customWidth="1"/>
    <col min="230" max="232" width="9.6640625" style="141" customWidth="1"/>
    <col min="233" max="233" width="9.109375" style="141" bestFit="1" customWidth="1"/>
    <col min="234" max="234" width="9.77734375" style="141" bestFit="1" customWidth="1"/>
    <col min="235" max="235" width="9.33203125" style="141" bestFit="1" customWidth="1"/>
    <col min="236" max="236" width="5.33203125" style="141" customWidth="1"/>
    <col min="237" max="237" width="10" style="141" customWidth="1"/>
    <col min="238" max="469" width="9.33203125" style="141"/>
    <col min="470" max="470" width="2.44140625" style="141" customWidth="1"/>
    <col min="471" max="471" width="16.6640625" style="141" customWidth="1"/>
    <col min="472" max="472" width="23.77734375" style="141" customWidth="1"/>
    <col min="473" max="473" width="5.109375" style="141" customWidth="1"/>
    <col min="474" max="474" width="18.33203125" style="141" customWidth="1"/>
    <col min="475" max="475" width="11.6640625" style="141" customWidth="1"/>
    <col min="476" max="476" width="11.77734375" style="141" customWidth="1"/>
    <col min="477" max="477" width="9.109375" style="141" customWidth="1"/>
    <col min="478" max="478" width="9.77734375" style="141" bestFit="1" customWidth="1"/>
    <col min="479" max="479" width="9.6640625" style="141" customWidth="1"/>
    <col min="480" max="481" width="12" style="141" customWidth="1"/>
    <col min="482" max="482" width="11.109375" style="141" customWidth="1"/>
    <col min="483" max="483" width="5.33203125" style="141" customWidth="1"/>
    <col min="484" max="484" width="9.6640625" style="141" customWidth="1"/>
    <col min="485" max="485" width="10.6640625" style="141" customWidth="1"/>
    <col min="486" max="488" width="9.6640625" style="141" customWidth="1"/>
    <col min="489" max="489" width="9.109375" style="141" bestFit="1" customWidth="1"/>
    <col min="490" max="490" width="9.77734375" style="141" bestFit="1" customWidth="1"/>
    <col min="491" max="491" width="9.33203125" style="141" bestFit="1" customWidth="1"/>
    <col min="492" max="492" width="5.33203125" style="141" customWidth="1"/>
    <col min="493" max="493" width="10" style="141" customWidth="1"/>
    <col min="494" max="725" width="9.33203125" style="141"/>
    <col min="726" max="726" width="2.44140625" style="141" customWidth="1"/>
    <col min="727" max="727" width="16.6640625" style="141" customWidth="1"/>
    <col min="728" max="728" width="23.77734375" style="141" customWidth="1"/>
    <col min="729" max="729" width="5.109375" style="141" customWidth="1"/>
    <col min="730" max="730" width="18.33203125" style="141" customWidth="1"/>
    <col min="731" max="731" width="11.6640625" style="141" customWidth="1"/>
    <col min="732" max="732" width="11.77734375" style="141" customWidth="1"/>
    <col min="733" max="733" width="9.109375" style="141" customWidth="1"/>
    <col min="734" max="734" width="9.77734375" style="141" bestFit="1" customWidth="1"/>
    <col min="735" max="735" width="9.6640625" style="141" customWidth="1"/>
    <col min="736" max="737" width="12" style="141" customWidth="1"/>
    <col min="738" max="738" width="11.109375" style="141" customWidth="1"/>
    <col min="739" max="739" width="5.33203125" style="141" customWidth="1"/>
    <col min="740" max="740" width="9.6640625" style="141" customWidth="1"/>
    <col min="741" max="741" width="10.6640625" style="141" customWidth="1"/>
    <col min="742" max="744" width="9.6640625" style="141" customWidth="1"/>
    <col min="745" max="745" width="9.109375" style="141" bestFit="1" customWidth="1"/>
    <col min="746" max="746" width="9.77734375" style="141" bestFit="1" customWidth="1"/>
    <col min="747" max="747" width="9.33203125" style="141" bestFit="1" customWidth="1"/>
    <col min="748" max="748" width="5.33203125" style="141" customWidth="1"/>
    <col min="749" max="749" width="10" style="141" customWidth="1"/>
    <col min="750" max="981" width="9.33203125" style="141"/>
    <col min="982" max="982" width="2.44140625" style="141" customWidth="1"/>
    <col min="983" max="983" width="16.6640625" style="141" customWidth="1"/>
    <col min="984" max="984" width="23.77734375" style="141" customWidth="1"/>
    <col min="985" max="985" width="5.109375" style="141" customWidth="1"/>
    <col min="986" max="986" width="18.33203125" style="141" customWidth="1"/>
    <col min="987" max="987" width="11.6640625" style="141" customWidth="1"/>
    <col min="988" max="988" width="11.77734375" style="141" customWidth="1"/>
    <col min="989" max="989" width="9.109375" style="141" customWidth="1"/>
    <col min="990" max="990" width="9.77734375" style="141" bestFit="1" customWidth="1"/>
    <col min="991" max="991" width="9.6640625" style="141" customWidth="1"/>
    <col min="992" max="993" width="12" style="141" customWidth="1"/>
    <col min="994" max="994" width="11.109375" style="141" customWidth="1"/>
    <col min="995" max="995" width="5.33203125" style="141" customWidth="1"/>
    <col min="996" max="996" width="9.6640625" style="141" customWidth="1"/>
    <col min="997" max="997" width="10.6640625" style="141" customWidth="1"/>
    <col min="998" max="1000" width="9.6640625" style="141" customWidth="1"/>
    <col min="1001" max="1001" width="9.109375" style="141" bestFit="1" customWidth="1"/>
    <col min="1002" max="1002" width="9.77734375" style="141" bestFit="1" customWidth="1"/>
    <col min="1003" max="1003" width="9.33203125" style="141" bestFit="1" customWidth="1"/>
    <col min="1004" max="1004" width="5.33203125" style="141" customWidth="1"/>
    <col min="1005" max="1005" width="10" style="141" customWidth="1"/>
    <col min="1006" max="1237" width="9.33203125" style="141"/>
    <col min="1238" max="1238" width="2.44140625" style="141" customWidth="1"/>
    <col min="1239" max="1239" width="16.6640625" style="141" customWidth="1"/>
    <col min="1240" max="1240" width="23.77734375" style="141" customWidth="1"/>
    <col min="1241" max="1241" width="5.109375" style="141" customWidth="1"/>
    <col min="1242" max="1242" width="18.33203125" style="141" customWidth="1"/>
    <col min="1243" max="1243" width="11.6640625" style="141" customWidth="1"/>
    <col min="1244" max="1244" width="11.77734375" style="141" customWidth="1"/>
    <col min="1245" max="1245" width="9.109375" style="141" customWidth="1"/>
    <col min="1246" max="1246" width="9.77734375" style="141" bestFit="1" customWidth="1"/>
    <col min="1247" max="1247" width="9.6640625" style="141" customWidth="1"/>
    <col min="1248" max="1249" width="12" style="141" customWidth="1"/>
    <col min="1250" max="1250" width="11.109375" style="141" customWidth="1"/>
    <col min="1251" max="1251" width="5.33203125" style="141" customWidth="1"/>
    <col min="1252" max="1252" width="9.6640625" style="141" customWidth="1"/>
    <col min="1253" max="1253" width="10.6640625" style="141" customWidth="1"/>
    <col min="1254" max="1256" width="9.6640625" style="141" customWidth="1"/>
    <col min="1257" max="1257" width="9.109375" style="141" bestFit="1" customWidth="1"/>
    <col min="1258" max="1258" width="9.77734375" style="141" bestFit="1" customWidth="1"/>
    <col min="1259" max="1259" width="9.33203125" style="141" bestFit="1" customWidth="1"/>
    <col min="1260" max="1260" width="5.33203125" style="141" customWidth="1"/>
    <col min="1261" max="1261" width="10" style="141" customWidth="1"/>
    <col min="1262" max="1493" width="9.33203125" style="141"/>
    <col min="1494" max="1494" width="2.44140625" style="141" customWidth="1"/>
    <col min="1495" max="1495" width="16.6640625" style="141" customWidth="1"/>
    <col min="1496" max="1496" width="23.77734375" style="141" customWidth="1"/>
    <col min="1497" max="1497" width="5.109375" style="141" customWidth="1"/>
    <col min="1498" max="1498" width="18.33203125" style="141" customWidth="1"/>
    <col min="1499" max="1499" width="11.6640625" style="141" customWidth="1"/>
    <col min="1500" max="1500" width="11.77734375" style="141" customWidth="1"/>
    <col min="1501" max="1501" width="9.109375" style="141" customWidth="1"/>
    <col min="1502" max="1502" width="9.77734375" style="141" bestFit="1" customWidth="1"/>
    <col min="1503" max="1503" width="9.6640625" style="141" customWidth="1"/>
    <col min="1504" max="1505" width="12" style="141" customWidth="1"/>
    <col min="1506" max="1506" width="11.109375" style="141" customWidth="1"/>
    <col min="1507" max="1507" width="5.33203125" style="141" customWidth="1"/>
    <col min="1508" max="1508" width="9.6640625" style="141" customWidth="1"/>
    <col min="1509" max="1509" width="10.6640625" style="141" customWidth="1"/>
    <col min="1510" max="1512" width="9.6640625" style="141" customWidth="1"/>
    <col min="1513" max="1513" width="9.109375" style="141" bestFit="1" customWidth="1"/>
    <col min="1514" max="1514" width="9.77734375" style="141" bestFit="1" customWidth="1"/>
    <col min="1515" max="1515" width="9.33203125" style="141" bestFit="1" customWidth="1"/>
    <col min="1516" max="1516" width="5.33203125" style="141" customWidth="1"/>
    <col min="1517" max="1517" width="10" style="141" customWidth="1"/>
    <col min="1518" max="1749" width="9.33203125" style="141"/>
    <col min="1750" max="1750" width="2.44140625" style="141" customWidth="1"/>
    <col min="1751" max="1751" width="16.6640625" style="141" customWidth="1"/>
    <col min="1752" max="1752" width="23.77734375" style="141" customWidth="1"/>
    <col min="1753" max="1753" width="5.109375" style="141" customWidth="1"/>
    <col min="1754" max="1754" width="18.33203125" style="141" customWidth="1"/>
    <col min="1755" max="1755" width="11.6640625" style="141" customWidth="1"/>
    <col min="1756" max="1756" width="11.77734375" style="141" customWidth="1"/>
    <col min="1757" max="1757" width="9.109375" style="141" customWidth="1"/>
    <col min="1758" max="1758" width="9.77734375" style="141" bestFit="1" customWidth="1"/>
    <col min="1759" max="1759" width="9.6640625" style="141" customWidth="1"/>
    <col min="1760" max="1761" width="12" style="141" customWidth="1"/>
    <col min="1762" max="1762" width="11.109375" style="141" customWidth="1"/>
    <col min="1763" max="1763" width="5.33203125" style="141" customWidth="1"/>
    <col min="1764" max="1764" width="9.6640625" style="141" customWidth="1"/>
    <col min="1765" max="1765" width="10.6640625" style="141" customWidth="1"/>
    <col min="1766" max="1768" width="9.6640625" style="141" customWidth="1"/>
    <col min="1769" max="1769" width="9.109375" style="141" bestFit="1" customWidth="1"/>
    <col min="1770" max="1770" width="9.77734375" style="141" bestFit="1" customWidth="1"/>
    <col min="1771" max="1771" width="9.33203125" style="141" bestFit="1" customWidth="1"/>
    <col min="1772" max="1772" width="5.33203125" style="141" customWidth="1"/>
    <col min="1773" max="1773" width="10" style="141" customWidth="1"/>
    <col min="1774" max="2005" width="9.33203125" style="141"/>
    <col min="2006" max="2006" width="2.44140625" style="141" customWidth="1"/>
    <col min="2007" max="2007" width="16.6640625" style="141" customWidth="1"/>
    <col min="2008" max="2008" width="23.77734375" style="141" customWidth="1"/>
    <col min="2009" max="2009" width="5.109375" style="141" customWidth="1"/>
    <col min="2010" max="2010" width="18.33203125" style="141" customWidth="1"/>
    <col min="2011" max="2011" width="11.6640625" style="141" customWidth="1"/>
    <col min="2012" max="2012" width="11.77734375" style="141" customWidth="1"/>
    <col min="2013" max="2013" width="9.109375" style="141" customWidth="1"/>
    <col min="2014" max="2014" width="9.77734375" style="141" bestFit="1" customWidth="1"/>
    <col min="2015" max="2015" width="9.6640625" style="141" customWidth="1"/>
    <col min="2016" max="2017" width="12" style="141" customWidth="1"/>
    <col min="2018" max="2018" width="11.109375" style="141" customWidth="1"/>
    <col min="2019" max="2019" width="5.33203125" style="141" customWidth="1"/>
    <col min="2020" max="2020" width="9.6640625" style="141" customWidth="1"/>
    <col min="2021" max="2021" width="10.6640625" style="141" customWidth="1"/>
    <col min="2022" max="2024" width="9.6640625" style="141" customWidth="1"/>
    <col min="2025" max="2025" width="9.109375" style="141" bestFit="1" customWidth="1"/>
    <col min="2026" max="2026" width="9.77734375" style="141" bestFit="1" customWidth="1"/>
    <col min="2027" max="2027" width="9.33203125" style="141" bestFit="1" customWidth="1"/>
    <col min="2028" max="2028" width="5.33203125" style="141" customWidth="1"/>
    <col min="2029" max="2029" width="10" style="141" customWidth="1"/>
    <col min="2030" max="2261" width="9.33203125" style="141"/>
    <col min="2262" max="2262" width="2.44140625" style="141" customWidth="1"/>
    <col min="2263" max="2263" width="16.6640625" style="141" customWidth="1"/>
    <col min="2264" max="2264" width="23.77734375" style="141" customWidth="1"/>
    <col min="2265" max="2265" width="5.109375" style="141" customWidth="1"/>
    <col min="2266" max="2266" width="18.33203125" style="141" customWidth="1"/>
    <col min="2267" max="2267" width="11.6640625" style="141" customWidth="1"/>
    <col min="2268" max="2268" width="11.77734375" style="141" customWidth="1"/>
    <col min="2269" max="2269" width="9.109375" style="141" customWidth="1"/>
    <col min="2270" max="2270" width="9.77734375" style="141" bestFit="1" customWidth="1"/>
    <col min="2271" max="2271" width="9.6640625" style="141" customWidth="1"/>
    <col min="2272" max="2273" width="12" style="141" customWidth="1"/>
    <col min="2274" max="2274" width="11.109375" style="141" customWidth="1"/>
    <col min="2275" max="2275" width="5.33203125" style="141" customWidth="1"/>
    <col min="2276" max="2276" width="9.6640625" style="141" customWidth="1"/>
    <col min="2277" max="2277" width="10.6640625" style="141" customWidth="1"/>
    <col min="2278" max="2280" width="9.6640625" style="141" customWidth="1"/>
    <col min="2281" max="2281" width="9.109375" style="141" bestFit="1" customWidth="1"/>
    <col min="2282" max="2282" width="9.77734375" style="141" bestFit="1" customWidth="1"/>
    <col min="2283" max="2283" width="9.33203125" style="141" bestFit="1" customWidth="1"/>
    <col min="2284" max="2284" width="5.33203125" style="141" customWidth="1"/>
    <col min="2285" max="2285" width="10" style="141" customWidth="1"/>
    <col min="2286" max="2517" width="9.33203125" style="141"/>
    <col min="2518" max="2518" width="2.44140625" style="141" customWidth="1"/>
    <col min="2519" max="2519" width="16.6640625" style="141" customWidth="1"/>
    <col min="2520" max="2520" width="23.77734375" style="141" customWidth="1"/>
    <col min="2521" max="2521" width="5.109375" style="141" customWidth="1"/>
    <col min="2522" max="2522" width="18.33203125" style="141" customWidth="1"/>
    <col min="2523" max="2523" width="11.6640625" style="141" customWidth="1"/>
    <col min="2524" max="2524" width="11.77734375" style="141" customWidth="1"/>
    <col min="2525" max="2525" width="9.109375" style="141" customWidth="1"/>
    <col min="2526" max="2526" width="9.77734375" style="141" bestFit="1" customWidth="1"/>
    <col min="2527" max="2527" width="9.6640625" style="141" customWidth="1"/>
    <col min="2528" max="2529" width="12" style="141" customWidth="1"/>
    <col min="2530" max="2530" width="11.109375" style="141" customWidth="1"/>
    <col min="2531" max="2531" width="5.33203125" style="141" customWidth="1"/>
    <col min="2532" max="2532" width="9.6640625" style="141" customWidth="1"/>
    <col min="2533" max="2533" width="10.6640625" style="141" customWidth="1"/>
    <col min="2534" max="2536" width="9.6640625" style="141" customWidth="1"/>
    <col min="2537" max="2537" width="9.109375" style="141" bestFit="1" customWidth="1"/>
    <col min="2538" max="2538" width="9.77734375" style="141" bestFit="1" customWidth="1"/>
    <col min="2539" max="2539" width="9.33203125" style="141" bestFit="1" customWidth="1"/>
    <col min="2540" max="2540" width="5.33203125" style="141" customWidth="1"/>
    <col min="2541" max="2541" width="10" style="141" customWidth="1"/>
    <col min="2542" max="2773" width="9.33203125" style="141"/>
    <col min="2774" max="2774" width="2.44140625" style="141" customWidth="1"/>
    <col min="2775" max="2775" width="16.6640625" style="141" customWidth="1"/>
    <col min="2776" max="2776" width="23.77734375" style="141" customWidth="1"/>
    <col min="2777" max="2777" width="5.109375" style="141" customWidth="1"/>
    <col min="2778" max="2778" width="18.33203125" style="141" customWidth="1"/>
    <col min="2779" max="2779" width="11.6640625" style="141" customWidth="1"/>
    <col min="2780" max="2780" width="11.77734375" style="141" customWidth="1"/>
    <col min="2781" max="2781" width="9.109375" style="141" customWidth="1"/>
    <col min="2782" max="2782" width="9.77734375" style="141" bestFit="1" customWidth="1"/>
    <col min="2783" max="2783" width="9.6640625" style="141" customWidth="1"/>
    <col min="2784" max="2785" width="12" style="141" customWidth="1"/>
    <col min="2786" max="2786" width="11.109375" style="141" customWidth="1"/>
    <col min="2787" max="2787" width="5.33203125" style="141" customWidth="1"/>
    <col min="2788" max="2788" width="9.6640625" style="141" customWidth="1"/>
    <col min="2789" max="2789" width="10.6640625" style="141" customWidth="1"/>
    <col min="2790" max="2792" width="9.6640625" style="141" customWidth="1"/>
    <col min="2793" max="2793" width="9.109375" style="141" bestFit="1" customWidth="1"/>
    <col min="2794" max="2794" width="9.77734375" style="141" bestFit="1" customWidth="1"/>
    <col min="2795" max="2795" width="9.33203125" style="141" bestFit="1" customWidth="1"/>
    <col min="2796" max="2796" width="5.33203125" style="141" customWidth="1"/>
    <col min="2797" max="2797" width="10" style="141" customWidth="1"/>
    <col min="2798" max="3029" width="9.33203125" style="141"/>
    <col min="3030" max="3030" width="2.44140625" style="141" customWidth="1"/>
    <col min="3031" max="3031" width="16.6640625" style="141" customWidth="1"/>
    <col min="3032" max="3032" width="23.77734375" style="141" customWidth="1"/>
    <col min="3033" max="3033" width="5.109375" style="141" customWidth="1"/>
    <col min="3034" max="3034" width="18.33203125" style="141" customWidth="1"/>
    <col min="3035" max="3035" width="11.6640625" style="141" customWidth="1"/>
    <col min="3036" max="3036" width="11.77734375" style="141" customWidth="1"/>
    <col min="3037" max="3037" width="9.109375" style="141" customWidth="1"/>
    <col min="3038" max="3038" width="9.77734375" style="141" bestFit="1" customWidth="1"/>
    <col min="3039" max="3039" width="9.6640625" style="141" customWidth="1"/>
    <col min="3040" max="3041" width="12" style="141" customWidth="1"/>
    <col min="3042" max="3042" width="11.109375" style="141" customWidth="1"/>
    <col min="3043" max="3043" width="5.33203125" style="141" customWidth="1"/>
    <col min="3044" max="3044" width="9.6640625" style="141" customWidth="1"/>
    <col min="3045" max="3045" width="10.6640625" style="141" customWidth="1"/>
    <col min="3046" max="3048" width="9.6640625" style="141" customWidth="1"/>
    <col min="3049" max="3049" width="9.109375" style="141" bestFit="1" customWidth="1"/>
    <col min="3050" max="3050" width="9.77734375" style="141" bestFit="1" customWidth="1"/>
    <col min="3051" max="3051" width="9.33203125" style="141" bestFit="1" customWidth="1"/>
    <col min="3052" max="3052" width="5.33203125" style="141" customWidth="1"/>
    <col min="3053" max="3053" width="10" style="141" customWidth="1"/>
    <col min="3054" max="3285" width="9.33203125" style="141"/>
    <col min="3286" max="3286" width="2.44140625" style="141" customWidth="1"/>
    <col min="3287" max="3287" width="16.6640625" style="141" customWidth="1"/>
    <col min="3288" max="3288" width="23.77734375" style="141" customWidth="1"/>
    <col min="3289" max="3289" width="5.109375" style="141" customWidth="1"/>
    <col min="3290" max="3290" width="18.33203125" style="141" customWidth="1"/>
    <col min="3291" max="3291" width="11.6640625" style="141" customWidth="1"/>
    <col min="3292" max="3292" width="11.77734375" style="141" customWidth="1"/>
    <col min="3293" max="3293" width="9.109375" style="141" customWidth="1"/>
    <col min="3294" max="3294" width="9.77734375" style="141" bestFit="1" customWidth="1"/>
    <col min="3295" max="3295" width="9.6640625" style="141" customWidth="1"/>
    <col min="3296" max="3297" width="12" style="141" customWidth="1"/>
    <col min="3298" max="3298" width="11.109375" style="141" customWidth="1"/>
    <col min="3299" max="3299" width="5.33203125" style="141" customWidth="1"/>
    <col min="3300" max="3300" width="9.6640625" style="141" customWidth="1"/>
    <col min="3301" max="3301" width="10.6640625" style="141" customWidth="1"/>
    <col min="3302" max="3304" width="9.6640625" style="141" customWidth="1"/>
    <col min="3305" max="3305" width="9.109375" style="141" bestFit="1" customWidth="1"/>
    <col min="3306" max="3306" width="9.77734375" style="141" bestFit="1" customWidth="1"/>
    <col min="3307" max="3307" width="9.33203125" style="141" bestFit="1" customWidth="1"/>
    <col min="3308" max="3308" width="5.33203125" style="141" customWidth="1"/>
    <col min="3309" max="3309" width="10" style="141" customWidth="1"/>
    <col min="3310" max="3541" width="9.33203125" style="141"/>
    <col min="3542" max="3542" width="2.44140625" style="141" customWidth="1"/>
    <col min="3543" max="3543" width="16.6640625" style="141" customWidth="1"/>
    <col min="3544" max="3544" width="23.77734375" style="141" customWidth="1"/>
    <col min="3545" max="3545" width="5.109375" style="141" customWidth="1"/>
    <col min="3546" max="3546" width="18.33203125" style="141" customWidth="1"/>
    <col min="3547" max="3547" width="11.6640625" style="141" customWidth="1"/>
    <col min="3548" max="3548" width="11.77734375" style="141" customWidth="1"/>
    <col min="3549" max="3549" width="9.109375" style="141" customWidth="1"/>
    <col min="3550" max="3550" width="9.77734375" style="141" bestFit="1" customWidth="1"/>
    <col min="3551" max="3551" width="9.6640625" style="141" customWidth="1"/>
    <col min="3552" max="3553" width="12" style="141" customWidth="1"/>
    <col min="3554" max="3554" width="11.109375" style="141" customWidth="1"/>
    <col min="3555" max="3555" width="5.33203125" style="141" customWidth="1"/>
    <col min="3556" max="3556" width="9.6640625" style="141" customWidth="1"/>
    <col min="3557" max="3557" width="10.6640625" style="141" customWidth="1"/>
    <col min="3558" max="3560" width="9.6640625" style="141" customWidth="1"/>
    <col min="3561" max="3561" width="9.109375" style="141" bestFit="1" customWidth="1"/>
    <col min="3562" max="3562" width="9.77734375" style="141" bestFit="1" customWidth="1"/>
    <col min="3563" max="3563" width="9.33203125" style="141" bestFit="1" customWidth="1"/>
    <col min="3564" max="3564" width="5.33203125" style="141" customWidth="1"/>
    <col min="3565" max="3565" width="10" style="141" customWidth="1"/>
    <col min="3566" max="3797" width="9.33203125" style="141"/>
    <col min="3798" max="3798" width="2.44140625" style="141" customWidth="1"/>
    <col min="3799" max="3799" width="16.6640625" style="141" customWidth="1"/>
    <col min="3800" max="3800" width="23.77734375" style="141" customWidth="1"/>
    <col min="3801" max="3801" width="5.109375" style="141" customWidth="1"/>
    <col min="3802" max="3802" width="18.33203125" style="141" customWidth="1"/>
    <col min="3803" max="3803" width="11.6640625" style="141" customWidth="1"/>
    <col min="3804" max="3804" width="11.77734375" style="141" customWidth="1"/>
    <col min="3805" max="3805" width="9.109375" style="141" customWidth="1"/>
    <col min="3806" max="3806" width="9.77734375" style="141" bestFit="1" customWidth="1"/>
    <col min="3807" max="3807" width="9.6640625" style="141" customWidth="1"/>
    <col min="3808" max="3809" width="12" style="141" customWidth="1"/>
    <col min="3810" max="3810" width="11.109375" style="141" customWidth="1"/>
    <col min="3811" max="3811" width="5.33203125" style="141" customWidth="1"/>
    <col min="3812" max="3812" width="9.6640625" style="141" customWidth="1"/>
    <col min="3813" max="3813" width="10.6640625" style="141" customWidth="1"/>
    <col min="3814" max="3816" width="9.6640625" style="141" customWidth="1"/>
    <col min="3817" max="3817" width="9.109375" style="141" bestFit="1" customWidth="1"/>
    <col min="3818" max="3818" width="9.77734375" style="141" bestFit="1" customWidth="1"/>
    <col min="3819" max="3819" width="9.33203125" style="141" bestFit="1" customWidth="1"/>
    <col min="3820" max="3820" width="5.33203125" style="141" customWidth="1"/>
    <col min="3821" max="3821" width="10" style="141" customWidth="1"/>
    <col min="3822" max="4053" width="9.33203125" style="141"/>
    <col min="4054" max="4054" width="2.44140625" style="141" customWidth="1"/>
    <col min="4055" max="4055" width="16.6640625" style="141" customWidth="1"/>
    <col min="4056" max="4056" width="23.77734375" style="141" customWidth="1"/>
    <col min="4057" max="4057" width="5.109375" style="141" customWidth="1"/>
    <col min="4058" max="4058" width="18.33203125" style="141" customWidth="1"/>
    <col min="4059" max="4059" width="11.6640625" style="141" customWidth="1"/>
    <col min="4060" max="4060" width="11.77734375" style="141" customWidth="1"/>
    <col min="4061" max="4061" width="9.109375" style="141" customWidth="1"/>
    <col min="4062" max="4062" width="9.77734375" style="141" bestFit="1" customWidth="1"/>
    <col min="4063" max="4063" width="9.6640625" style="141" customWidth="1"/>
    <col min="4064" max="4065" width="12" style="141" customWidth="1"/>
    <col min="4066" max="4066" width="11.109375" style="141" customWidth="1"/>
    <col min="4067" max="4067" width="5.33203125" style="141" customWidth="1"/>
    <col min="4068" max="4068" width="9.6640625" style="141" customWidth="1"/>
    <col min="4069" max="4069" width="10.6640625" style="141" customWidth="1"/>
    <col min="4070" max="4072" width="9.6640625" style="141" customWidth="1"/>
    <col min="4073" max="4073" width="9.109375" style="141" bestFit="1" customWidth="1"/>
    <col min="4074" max="4074" width="9.77734375" style="141" bestFit="1" customWidth="1"/>
    <col min="4075" max="4075" width="9.33203125" style="141" bestFit="1" customWidth="1"/>
    <col min="4076" max="4076" width="5.33203125" style="141" customWidth="1"/>
    <col min="4077" max="4077" width="10" style="141" customWidth="1"/>
    <col min="4078" max="4309" width="9.33203125" style="141"/>
    <col min="4310" max="4310" width="2.44140625" style="141" customWidth="1"/>
    <col min="4311" max="4311" width="16.6640625" style="141" customWidth="1"/>
    <col min="4312" max="4312" width="23.77734375" style="141" customWidth="1"/>
    <col min="4313" max="4313" width="5.109375" style="141" customWidth="1"/>
    <col min="4314" max="4314" width="18.33203125" style="141" customWidth="1"/>
    <col min="4315" max="4315" width="11.6640625" style="141" customWidth="1"/>
    <col min="4316" max="4316" width="11.77734375" style="141" customWidth="1"/>
    <col min="4317" max="4317" width="9.109375" style="141" customWidth="1"/>
    <col min="4318" max="4318" width="9.77734375" style="141" bestFit="1" customWidth="1"/>
    <col min="4319" max="4319" width="9.6640625" style="141" customWidth="1"/>
    <col min="4320" max="4321" width="12" style="141" customWidth="1"/>
    <col min="4322" max="4322" width="11.109375" style="141" customWidth="1"/>
    <col min="4323" max="4323" width="5.33203125" style="141" customWidth="1"/>
    <col min="4324" max="4324" width="9.6640625" style="141" customWidth="1"/>
    <col min="4325" max="4325" width="10.6640625" style="141" customWidth="1"/>
    <col min="4326" max="4328" width="9.6640625" style="141" customWidth="1"/>
    <col min="4329" max="4329" width="9.109375" style="141" bestFit="1" customWidth="1"/>
    <col min="4330" max="4330" width="9.77734375" style="141" bestFit="1" customWidth="1"/>
    <col min="4331" max="4331" width="9.33203125" style="141" bestFit="1" customWidth="1"/>
    <col min="4332" max="4332" width="5.33203125" style="141" customWidth="1"/>
    <col min="4333" max="4333" width="10" style="141" customWidth="1"/>
    <col min="4334" max="4565" width="9.33203125" style="141"/>
    <col min="4566" max="4566" width="2.44140625" style="141" customWidth="1"/>
    <col min="4567" max="4567" width="16.6640625" style="141" customWidth="1"/>
    <col min="4568" max="4568" width="23.77734375" style="141" customWidth="1"/>
    <col min="4569" max="4569" width="5.109375" style="141" customWidth="1"/>
    <col min="4570" max="4570" width="18.33203125" style="141" customWidth="1"/>
    <col min="4571" max="4571" width="11.6640625" style="141" customWidth="1"/>
    <col min="4572" max="4572" width="11.77734375" style="141" customWidth="1"/>
    <col min="4573" max="4573" width="9.109375" style="141" customWidth="1"/>
    <col min="4574" max="4574" width="9.77734375" style="141" bestFit="1" customWidth="1"/>
    <col min="4575" max="4575" width="9.6640625" style="141" customWidth="1"/>
    <col min="4576" max="4577" width="12" style="141" customWidth="1"/>
    <col min="4578" max="4578" width="11.109375" style="141" customWidth="1"/>
    <col min="4579" max="4579" width="5.33203125" style="141" customWidth="1"/>
    <col min="4580" max="4580" width="9.6640625" style="141" customWidth="1"/>
    <col min="4581" max="4581" width="10.6640625" style="141" customWidth="1"/>
    <col min="4582" max="4584" width="9.6640625" style="141" customWidth="1"/>
    <col min="4585" max="4585" width="9.109375" style="141" bestFit="1" customWidth="1"/>
    <col min="4586" max="4586" width="9.77734375" style="141" bestFit="1" customWidth="1"/>
    <col min="4587" max="4587" width="9.33203125" style="141" bestFit="1" customWidth="1"/>
    <col min="4588" max="4588" width="5.33203125" style="141" customWidth="1"/>
    <col min="4589" max="4589" width="10" style="141" customWidth="1"/>
    <col min="4590" max="4821" width="9.33203125" style="141"/>
    <col min="4822" max="4822" width="2.44140625" style="141" customWidth="1"/>
    <col min="4823" max="4823" width="16.6640625" style="141" customWidth="1"/>
    <col min="4824" max="4824" width="23.77734375" style="141" customWidth="1"/>
    <col min="4825" max="4825" width="5.109375" style="141" customWidth="1"/>
    <col min="4826" max="4826" width="18.33203125" style="141" customWidth="1"/>
    <col min="4827" max="4827" width="11.6640625" style="141" customWidth="1"/>
    <col min="4828" max="4828" width="11.77734375" style="141" customWidth="1"/>
    <col min="4829" max="4829" width="9.109375" style="141" customWidth="1"/>
    <col min="4830" max="4830" width="9.77734375" style="141" bestFit="1" customWidth="1"/>
    <col min="4831" max="4831" width="9.6640625" style="141" customWidth="1"/>
    <col min="4832" max="4833" width="12" style="141" customWidth="1"/>
    <col min="4834" max="4834" width="11.109375" style="141" customWidth="1"/>
    <col min="4835" max="4835" width="5.33203125" style="141" customWidth="1"/>
    <col min="4836" max="4836" width="9.6640625" style="141" customWidth="1"/>
    <col min="4837" max="4837" width="10.6640625" style="141" customWidth="1"/>
    <col min="4838" max="4840" width="9.6640625" style="141" customWidth="1"/>
    <col min="4841" max="4841" width="9.109375" style="141" bestFit="1" customWidth="1"/>
    <col min="4842" max="4842" width="9.77734375" style="141" bestFit="1" customWidth="1"/>
    <col min="4843" max="4843" width="9.33203125" style="141" bestFit="1" customWidth="1"/>
    <col min="4844" max="4844" width="5.33203125" style="141" customWidth="1"/>
    <col min="4845" max="4845" width="10" style="141" customWidth="1"/>
    <col min="4846" max="5077" width="9.33203125" style="141"/>
    <col min="5078" max="5078" width="2.44140625" style="141" customWidth="1"/>
    <col min="5079" max="5079" width="16.6640625" style="141" customWidth="1"/>
    <col min="5080" max="5080" width="23.77734375" style="141" customWidth="1"/>
    <col min="5081" max="5081" width="5.109375" style="141" customWidth="1"/>
    <col min="5082" max="5082" width="18.33203125" style="141" customWidth="1"/>
    <col min="5083" max="5083" width="11.6640625" style="141" customWidth="1"/>
    <col min="5084" max="5084" width="11.77734375" style="141" customWidth="1"/>
    <col min="5085" max="5085" width="9.109375" style="141" customWidth="1"/>
    <col min="5086" max="5086" width="9.77734375" style="141" bestFit="1" customWidth="1"/>
    <col min="5087" max="5087" width="9.6640625" style="141" customWidth="1"/>
    <col min="5088" max="5089" width="12" style="141" customWidth="1"/>
    <col min="5090" max="5090" width="11.109375" style="141" customWidth="1"/>
    <col min="5091" max="5091" width="5.33203125" style="141" customWidth="1"/>
    <col min="5092" max="5092" width="9.6640625" style="141" customWidth="1"/>
    <col min="5093" max="5093" width="10.6640625" style="141" customWidth="1"/>
    <col min="5094" max="5096" width="9.6640625" style="141" customWidth="1"/>
    <col min="5097" max="5097" width="9.109375" style="141" bestFit="1" customWidth="1"/>
    <col min="5098" max="5098" width="9.77734375" style="141" bestFit="1" customWidth="1"/>
    <col min="5099" max="5099" width="9.33203125" style="141" bestFit="1" customWidth="1"/>
    <col min="5100" max="5100" width="5.33203125" style="141" customWidth="1"/>
    <col min="5101" max="5101" width="10" style="141" customWidth="1"/>
    <col min="5102" max="5333" width="9.33203125" style="141"/>
    <col min="5334" max="5334" width="2.44140625" style="141" customWidth="1"/>
    <col min="5335" max="5335" width="16.6640625" style="141" customWidth="1"/>
    <col min="5336" max="5336" width="23.77734375" style="141" customWidth="1"/>
    <col min="5337" max="5337" width="5.109375" style="141" customWidth="1"/>
    <col min="5338" max="5338" width="18.33203125" style="141" customWidth="1"/>
    <col min="5339" max="5339" width="11.6640625" style="141" customWidth="1"/>
    <col min="5340" max="5340" width="11.77734375" style="141" customWidth="1"/>
    <col min="5341" max="5341" width="9.109375" style="141" customWidth="1"/>
    <col min="5342" max="5342" width="9.77734375" style="141" bestFit="1" customWidth="1"/>
    <col min="5343" max="5343" width="9.6640625" style="141" customWidth="1"/>
    <col min="5344" max="5345" width="12" style="141" customWidth="1"/>
    <col min="5346" max="5346" width="11.109375" style="141" customWidth="1"/>
    <col min="5347" max="5347" width="5.33203125" style="141" customWidth="1"/>
    <col min="5348" max="5348" width="9.6640625" style="141" customWidth="1"/>
    <col min="5349" max="5349" width="10.6640625" style="141" customWidth="1"/>
    <col min="5350" max="5352" width="9.6640625" style="141" customWidth="1"/>
    <col min="5353" max="5353" width="9.109375" style="141" bestFit="1" customWidth="1"/>
    <col min="5354" max="5354" width="9.77734375" style="141" bestFit="1" customWidth="1"/>
    <col min="5355" max="5355" width="9.33203125" style="141" bestFit="1" customWidth="1"/>
    <col min="5356" max="5356" width="5.33203125" style="141" customWidth="1"/>
    <col min="5357" max="5357" width="10" style="141" customWidth="1"/>
    <col min="5358" max="5589" width="9.33203125" style="141"/>
    <col min="5590" max="5590" width="2.44140625" style="141" customWidth="1"/>
    <col min="5591" max="5591" width="16.6640625" style="141" customWidth="1"/>
    <col min="5592" max="5592" width="23.77734375" style="141" customWidth="1"/>
    <col min="5593" max="5593" width="5.109375" style="141" customWidth="1"/>
    <col min="5594" max="5594" width="18.33203125" style="141" customWidth="1"/>
    <col min="5595" max="5595" width="11.6640625" style="141" customWidth="1"/>
    <col min="5596" max="5596" width="11.77734375" style="141" customWidth="1"/>
    <col min="5597" max="5597" width="9.109375" style="141" customWidth="1"/>
    <col min="5598" max="5598" width="9.77734375" style="141" bestFit="1" customWidth="1"/>
    <col min="5599" max="5599" width="9.6640625" style="141" customWidth="1"/>
    <col min="5600" max="5601" width="12" style="141" customWidth="1"/>
    <col min="5602" max="5602" width="11.109375" style="141" customWidth="1"/>
    <col min="5603" max="5603" width="5.33203125" style="141" customWidth="1"/>
    <col min="5604" max="5604" width="9.6640625" style="141" customWidth="1"/>
    <col min="5605" max="5605" width="10.6640625" style="141" customWidth="1"/>
    <col min="5606" max="5608" width="9.6640625" style="141" customWidth="1"/>
    <col min="5609" max="5609" width="9.109375" style="141" bestFit="1" customWidth="1"/>
    <col min="5610" max="5610" width="9.77734375" style="141" bestFit="1" customWidth="1"/>
    <col min="5611" max="5611" width="9.33203125" style="141" bestFit="1" customWidth="1"/>
    <col min="5612" max="5612" width="5.33203125" style="141" customWidth="1"/>
    <col min="5613" max="5613" width="10" style="141" customWidth="1"/>
    <col min="5614" max="5845" width="9.33203125" style="141"/>
    <col min="5846" max="5846" width="2.44140625" style="141" customWidth="1"/>
    <col min="5847" max="5847" width="16.6640625" style="141" customWidth="1"/>
    <col min="5848" max="5848" width="23.77734375" style="141" customWidth="1"/>
    <col min="5849" max="5849" width="5.109375" style="141" customWidth="1"/>
    <col min="5850" max="5850" width="18.33203125" style="141" customWidth="1"/>
    <col min="5851" max="5851" width="11.6640625" style="141" customWidth="1"/>
    <col min="5852" max="5852" width="11.77734375" style="141" customWidth="1"/>
    <col min="5853" max="5853" width="9.109375" style="141" customWidth="1"/>
    <col min="5854" max="5854" width="9.77734375" style="141" bestFit="1" customWidth="1"/>
    <col min="5855" max="5855" width="9.6640625" style="141" customWidth="1"/>
    <col min="5856" max="5857" width="12" style="141" customWidth="1"/>
    <col min="5858" max="5858" width="11.109375" style="141" customWidth="1"/>
    <col min="5859" max="5859" width="5.33203125" style="141" customWidth="1"/>
    <col min="5860" max="5860" width="9.6640625" style="141" customWidth="1"/>
    <col min="5861" max="5861" width="10.6640625" style="141" customWidth="1"/>
    <col min="5862" max="5864" width="9.6640625" style="141" customWidth="1"/>
    <col min="5865" max="5865" width="9.109375" style="141" bestFit="1" customWidth="1"/>
    <col min="5866" max="5866" width="9.77734375" style="141" bestFit="1" customWidth="1"/>
    <col min="5867" max="5867" width="9.33203125" style="141" bestFit="1" customWidth="1"/>
    <col min="5868" max="5868" width="5.33203125" style="141" customWidth="1"/>
    <col min="5869" max="5869" width="10" style="141" customWidth="1"/>
    <col min="5870" max="6101" width="9.33203125" style="141"/>
    <col min="6102" max="6102" width="2.44140625" style="141" customWidth="1"/>
    <col min="6103" max="6103" width="16.6640625" style="141" customWidth="1"/>
    <col min="6104" max="6104" width="23.77734375" style="141" customWidth="1"/>
    <col min="6105" max="6105" width="5.109375" style="141" customWidth="1"/>
    <col min="6106" max="6106" width="18.33203125" style="141" customWidth="1"/>
    <col min="6107" max="6107" width="11.6640625" style="141" customWidth="1"/>
    <col min="6108" max="6108" width="11.77734375" style="141" customWidth="1"/>
    <col min="6109" max="6109" width="9.109375" style="141" customWidth="1"/>
    <col min="6110" max="6110" width="9.77734375" style="141" bestFit="1" customWidth="1"/>
    <col min="6111" max="6111" width="9.6640625" style="141" customWidth="1"/>
    <col min="6112" max="6113" width="12" style="141" customWidth="1"/>
    <col min="6114" max="6114" width="11.109375" style="141" customWidth="1"/>
    <col min="6115" max="6115" width="5.33203125" style="141" customWidth="1"/>
    <col min="6116" max="6116" width="9.6640625" style="141" customWidth="1"/>
    <col min="6117" max="6117" width="10.6640625" style="141" customWidth="1"/>
    <col min="6118" max="6120" width="9.6640625" style="141" customWidth="1"/>
    <col min="6121" max="6121" width="9.109375" style="141" bestFit="1" customWidth="1"/>
    <col min="6122" max="6122" width="9.77734375" style="141" bestFit="1" customWidth="1"/>
    <col min="6123" max="6123" width="9.33203125" style="141" bestFit="1" customWidth="1"/>
    <col min="6124" max="6124" width="5.33203125" style="141" customWidth="1"/>
    <col min="6125" max="6125" width="10" style="141" customWidth="1"/>
    <col min="6126" max="6357" width="9.33203125" style="141"/>
    <col min="6358" max="6358" width="2.44140625" style="141" customWidth="1"/>
    <col min="6359" max="6359" width="16.6640625" style="141" customWidth="1"/>
    <col min="6360" max="6360" width="23.77734375" style="141" customWidth="1"/>
    <col min="6361" max="6361" width="5.109375" style="141" customWidth="1"/>
    <col min="6362" max="6362" width="18.33203125" style="141" customWidth="1"/>
    <col min="6363" max="6363" width="11.6640625" style="141" customWidth="1"/>
    <col min="6364" max="6364" width="11.77734375" style="141" customWidth="1"/>
    <col min="6365" max="6365" width="9.109375" style="141" customWidth="1"/>
    <col min="6366" max="6366" width="9.77734375" style="141" bestFit="1" customWidth="1"/>
    <col min="6367" max="6367" width="9.6640625" style="141" customWidth="1"/>
    <col min="6368" max="6369" width="12" style="141" customWidth="1"/>
    <col min="6370" max="6370" width="11.109375" style="141" customWidth="1"/>
    <col min="6371" max="6371" width="5.33203125" style="141" customWidth="1"/>
    <col min="6372" max="6372" width="9.6640625" style="141" customWidth="1"/>
    <col min="6373" max="6373" width="10.6640625" style="141" customWidth="1"/>
    <col min="6374" max="6376" width="9.6640625" style="141" customWidth="1"/>
    <col min="6377" max="6377" width="9.109375" style="141" bestFit="1" customWidth="1"/>
    <col min="6378" max="6378" width="9.77734375" style="141" bestFit="1" customWidth="1"/>
    <col min="6379" max="6379" width="9.33203125" style="141" bestFit="1" customWidth="1"/>
    <col min="6380" max="6380" width="5.33203125" style="141" customWidth="1"/>
    <col min="6381" max="6381" width="10" style="141" customWidth="1"/>
    <col min="6382" max="6613" width="9.33203125" style="141"/>
    <col min="6614" max="6614" width="2.44140625" style="141" customWidth="1"/>
    <col min="6615" max="6615" width="16.6640625" style="141" customWidth="1"/>
    <col min="6616" max="6616" width="23.77734375" style="141" customWidth="1"/>
    <col min="6617" max="6617" width="5.109375" style="141" customWidth="1"/>
    <col min="6618" max="6618" width="18.33203125" style="141" customWidth="1"/>
    <col min="6619" max="6619" width="11.6640625" style="141" customWidth="1"/>
    <col min="6620" max="6620" width="11.77734375" style="141" customWidth="1"/>
    <col min="6621" max="6621" width="9.109375" style="141" customWidth="1"/>
    <col min="6622" max="6622" width="9.77734375" style="141" bestFit="1" customWidth="1"/>
    <col min="6623" max="6623" width="9.6640625" style="141" customWidth="1"/>
    <col min="6624" max="6625" width="12" style="141" customWidth="1"/>
    <col min="6626" max="6626" width="11.109375" style="141" customWidth="1"/>
    <col min="6627" max="6627" width="5.33203125" style="141" customWidth="1"/>
    <col min="6628" max="6628" width="9.6640625" style="141" customWidth="1"/>
    <col min="6629" max="6629" width="10.6640625" style="141" customWidth="1"/>
    <col min="6630" max="6632" width="9.6640625" style="141" customWidth="1"/>
    <col min="6633" max="6633" width="9.109375" style="141" bestFit="1" customWidth="1"/>
    <col min="6634" max="6634" width="9.77734375" style="141" bestFit="1" customWidth="1"/>
    <col min="6635" max="6635" width="9.33203125" style="141" bestFit="1" customWidth="1"/>
    <col min="6636" max="6636" width="5.33203125" style="141" customWidth="1"/>
    <col min="6637" max="6637" width="10" style="141" customWidth="1"/>
    <col min="6638" max="6869" width="9.33203125" style="141"/>
    <col min="6870" max="6870" width="2.44140625" style="141" customWidth="1"/>
    <col min="6871" max="6871" width="16.6640625" style="141" customWidth="1"/>
    <col min="6872" max="6872" width="23.77734375" style="141" customWidth="1"/>
    <col min="6873" max="6873" width="5.109375" style="141" customWidth="1"/>
    <col min="6874" max="6874" width="18.33203125" style="141" customWidth="1"/>
    <col min="6875" max="6875" width="11.6640625" style="141" customWidth="1"/>
    <col min="6876" max="6876" width="11.77734375" style="141" customWidth="1"/>
    <col min="6877" max="6877" width="9.109375" style="141" customWidth="1"/>
    <col min="6878" max="6878" width="9.77734375" style="141" bestFit="1" customWidth="1"/>
    <col min="6879" max="6879" width="9.6640625" style="141" customWidth="1"/>
    <col min="6880" max="6881" width="12" style="141" customWidth="1"/>
    <col min="6882" max="6882" width="11.109375" style="141" customWidth="1"/>
    <col min="6883" max="6883" width="5.33203125" style="141" customWidth="1"/>
    <col min="6884" max="6884" width="9.6640625" style="141" customWidth="1"/>
    <col min="6885" max="6885" width="10.6640625" style="141" customWidth="1"/>
    <col min="6886" max="6888" width="9.6640625" style="141" customWidth="1"/>
    <col min="6889" max="6889" width="9.109375" style="141" bestFit="1" customWidth="1"/>
    <col min="6890" max="6890" width="9.77734375" style="141" bestFit="1" customWidth="1"/>
    <col min="6891" max="6891" width="9.33203125" style="141" bestFit="1" customWidth="1"/>
    <col min="6892" max="6892" width="5.33203125" style="141" customWidth="1"/>
    <col min="6893" max="6893" width="10" style="141" customWidth="1"/>
    <col min="6894" max="7125" width="9.33203125" style="141"/>
    <col min="7126" max="7126" width="2.44140625" style="141" customWidth="1"/>
    <col min="7127" max="7127" width="16.6640625" style="141" customWidth="1"/>
    <col min="7128" max="7128" width="23.77734375" style="141" customWidth="1"/>
    <col min="7129" max="7129" width="5.109375" style="141" customWidth="1"/>
    <col min="7130" max="7130" width="18.33203125" style="141" customWidth="1"/>
    <col min="7131" max="7131" width="11.6640625" style="141" customWidth="1"/>
    <col min="7132" max="7132" width="11.77734375" style="141" customWidth="1"/>
    <col min="7133" max="7133" width="9.109375" style="141" customWidth="1"/>
    <col min="7134" max="7134" width="9.77734375" style="141" bestFit="1" customWidth="1"/>
    <col min="7135" max="7135" width="9.6640625" style="141" customWidth="1"/>
    <col min="7136" max="7137" width="12" style="141" customWidth="1"/>
    <col min="7138" max="7138" width="11.109375" style="141" customWidth="1"/>
    <col min="7139" max="7139" width="5.33203125" style="141" customWidth="1"/>
    <col min="7140" max="7140" width="9.6640625" style="141" customWidth="1"/>
    <col min="7141" max="7141" width="10.6640625" style="141" customWidth="1"/>
    <col min="7142" max="7144" width="9.6640625" style="141" customWidth="1"/>
    <col min="7145" max="7145" width="9.109375" style="141" bestFit="1" customWidth="1"/>
    <col min="7146" max="7146" width="9.77734375" style="141" bestFit="1" customWidth="1"/>
    <col min="7147" max="7147" width="9.33203125" style="141" bestFit="1" customWidth="1"/>
    <col min="7148" max="7148" width="5.33203125" style="141" customWidth="1"/>
    <col min="7149" max="7149" width="10" style="141" customWidth="1"/>
    <col min="7150" max="7381" width="9.33203125" style="141"/>
    <col min="7382" max="7382" width="2.44140625" style="141" customWidth="1"/>
    <col min="7383" max="7383" width="16.6640625" style="141" customWidth="1"/>
    <col min="7384" max="7384" width="23.77734375" style="141" customWidth="1"/>
    <col min="7385" max="7385" width="5.109375" style="141" customWidth="1"/>
    <col min="7386" max="7386" width="18.33203125" style="141" customWidth="1"/>
    <col min="7387" max="7387" width="11.6640625" style="141" customWidth="1"/>
    <col min="7388" max="7388" width="11.77734375" style="141" customWidth="1"/>
    <col min="7389" max="7389" width="9.109375" style="141" customWidth="1"/>
    <col min="7390" max="7390" width="9.77734375" style="141" bestFit="1" customWidth="1"/>
    <col min="7391" max="7391" width="9.6640625" style="141" customWidth="1"/>
    <col min="7392" max="7393" width="12" style="141" customWidth="1"/>
    <col min="7394" max="7394" width="11.109375" style="141" customWidth="1"/>
    <col min="7395" max="7395" width="5.33203125" style="141" customWidth="1"/>
    <col min="7396" max="7396" width="9.6640625" style="141" customWidth="1"/>
    <col min="7397" max="7397" width="10.6640625" style="141" customWidth="1"/>
    <col min="7398" max="7400" width="9.6640625" style="141" customWidth="1"/>
    <col min="7401" max="7401" width="9.109375" style="141" bestFit="1" customWidth="1"/>
    <col min="7402" max="7402" width="9.77734375" style="141" bestFit="1" customWidth="1"/>
    <col min="7403" max="7403" width="9.33203125" style="141" bestFit="1" customWidth="1"/>
    <col min="7404" max="7404" width="5.33203125" style="141" customWidth="1"/>
    <col min="7405" max="7405" width="10" style="141" customWidth="1"/>
    <col min="7406" max="7637" width="9.33203125" style="141"/>
    <col min="7638" max="7638" width="2.44140625" style="141" customWidth="1"/>
    <col min="7639" max="7639" width="16.6640625" style="141" customWidth="1"/>
    <col min="7640" max="7640" width="23.77734375" style="141" customWidth="1"/>
    <col min="7641" max="7641" width="5.109375" style="141" customWidth="1"/>
    <col min="7642" max="7642" width="18.33203125" style="141" customWidth="1"/>
    <col min="7643" max="7643" width="11.6640625" style="141" customWidth="1"/>
    <col min="7644" max="7644" width="11.77734375" style="141" customWidth="1"/>
    <col min="7645" max="7645" width="9.109375" style="141" customWidth="1"/>
    <col min="7646" max="7646" width="9.77734375" style="141" bestFit="1" customWidth="1"/>
    <col min="7647" max="7647" width="9.6640625" style="141" customWidth="1"/>
    <col min="7648" max="7649" width="12" style="141" customWidth="1"/>
    <col min="7650" max="7650" width="11.109375" style="141" customWidth="1"/>
    <col min="7651" max="7651" width="5.33203125" style="141" customWidth="1"/>
    <col min="7652" max="7652" width="9.6640625" style="141" customWidth="1"/>
    <col min="7653" max="7653" width="10.6640625" style="141" customWidth="1"/>
    <col min="7654" max="7656" width="9.6640625" style="141" customWidth="1"/>
    <col min="7657" max="7657" width="9.109375" style="141" bestFit="1" customWidth="1"/>
    <col min="7658" max="7658" width="9.77734375" style="141" bestFit="1" customWidth="1"/>
    <col min="7659" max="7659" width="9.33203125" style="141" bestFit="1" customWidth="1"/>
    <col min="7660" max="7660" width="5.33203125" style="141" customWidth="1"/>
    <col min="7661" max="7661" width="10" style="141" customWidth="1"/>
    <col min="7662" max="7893" width="9.33203125" style="141"/>
    <col min="7894" max="7894" width="2.44140625" style="141" customWidth="1"/>
    <col min="7895" max="7895" width="16.6640625" style="141" customWidth="1"/>
    <col min="7896" max="7896" width="23.77734375" style="141" customWidth="1"/>
    <col min="7897" max="7897" width="5.109375" style="141" customWidth="1"/>
    <col min="7898" max="7898" width="18.33203125" style="141" customWidth="1"/>
    <col min="7899" max="7899" width="11.6640625" style="141" customWidth="1"/>
    <col min="7900" max="7900" width="11.77734375" style="141" customWidth="1"/>
    <col min="7901" max="7901" width="9.109375" style="141" customWidth="1"/>
    <col min="7902" max="7902" width="9.77734375" style="141" bestFit="1" customWidth="1"/>
    <col min="7903" max="7903" width="9.6640625" style="141" customWidth="1"/>
    <col min="7904" max="7905" width="12" style="141" customWidth="1"/>
    <col min="7906" max="7906" width="11.109375" style="141" customWidth="1"/>
    <col min="7907" max="7907" width="5.33203125" style="141" customWidth="1"/>
    <col min="7908" max="7908" width="9.6640625" style="141" customWidth="1"/>
    <col min="7909" max="7909" width="10.6640625" style="141" customWidth="1"/>
    <col min="7910" max="7912" width="9.6640625" style="141" customWidth="1"/>
    <col min="7913" max="7913" width="9.109375" style="141" bestFit="1" customWidth="1"/>
    <col min="7914" max="7914" width="9.77734375" style="141" bestFit="1" customWidth="1"/>
    <col min="7915" max="7915" width="9.33203125" style="141" bestFit="1" customWidth="1"/>
    <col min="7916" max="7916" width="5.33203125" style="141" customWidth="1"/>
    <col min="7917" max="7917" width="10" style="141" customWidth="1"/>
    <col min="7918" max="8149" width="9.33203125" style="141"/>
    <col min="8150" max="8150" width="2.44140625" style="141" customWidth="1"/>
    <col min="8151" max="8151" width="16.6640625" style="141" customWidth="1"/>
    <col min="8152" max="8152" width="23.77734375" style="141" customWidth="1"/>
    <col min="8153" max="8153" width="5.109375" style="141" customWidth="1"/>
    <col min="8154" max="8154" width="18.33203125" style="141" customWidth="1"/>
    <col min="8155" max="8155" width="11.6640625" style="141" customWidth="1"/>
    <col min="8156" max="8156" width="11.77734375" style="141" customWidth="1"/>
    <col min="8157" max="8157" width="9.109375" style="141" customWidth="1"/>
    <col min="8158" max="8158" width="9.77734375" style="141" bestFit="1" customWidth="1"/>
    <col min="8159" max="8159" width="9.6640625" style="141" customWidth="1"/>
    <col min="8160" max="8161" width="12" style="141" customWidth="1"/>
    <col min="8162" max="8162" width="11.109375" style="141" customWidth="1"/>
    <col min="8163" max="8163" width="5.33203125" style="141" customWidth="1"/>
    <col min="8164" max="8164" width="9.6640625" style="141" customWidth="1"/>
    <col min="8165" max="8165" width="10.6640625" style="141" customWidth="1"/>
    <col min="8166" max="8168" width="9.6640625" style="141" customWidth="1"/>
    <col min="8169" max="8169" width="9.109375" style="141" bestFit="1" customWidth="1"/>
    <col min="8170" max="8170" width="9.77734375" style="141" bestFit="1" customWidth="1"/>
    <col min="8171" max="8171" width="9.33203125" style="141" bestFit="1" customWidth="1"/>
    <col min="8172" max="8172" width="5.33203125" style="141" customWidth="1"/>
    <col min="8173" max="8173" width="10" style="141" customWidth="1"/>
    <col min="8174" max="8405" width="9.33203125" style="141"/>
    <col min="8406" max="8406" width="2.44140625" style="141" customWidth="1"/>
    <col min="8407" max="8407" width="16.6640625" style="141" customWidth="1"/>
    <col min="8408" max="8408" width="23.77734375" style="141" customWidth="1"/>
    <col min="8409" max="8409" width="5.109375" style="141" customWidth="1"/>
    <col min="8410" max="8410" width="18.33203125" style="141" customWidth="1"/>
    <col min="8411" max="8411" width="11.6640625" style="141" customWidth="1"/>
    <col min="8412" max="8412" width="11.77734375" style="141" customWidth="1"/>
    <col min="8413" max="8413" width="9.109375" style="141" customWidth="1"/>
    <col min="8414" max="8414" width="9.77734375" style="141" bestFit="1" customWidth="1"/>
    <col min="8415" max="8415" width="9.6640625" style="141" customWidth="1"/>
    <col min="8416" max="8417" width="12" style="141" customWidth="1"/>
    <col min="8418" max="8418" width="11.109375" style="141" customWidth="1"/>
    <col min="8419" max="8419" width="5.33203125" style="141" customWidth="1"/>
    <col min="8420" max="8420" width="9.6640625" style="141" customWidth="1"/>
    <col min="8421" max="8421" width="10.6640625" style="141" customWidth="1"/>
    <col min="8422" max="8424" width="9.6640625" style="141" customWidth="1"/>
    <col min="8425" max="8425" width="9.109375" style="141" bestFit="1" customWidth="1"/>
    <col min="8426" max="8426" width="9.77734375" style="141" bestFit="1" customWidth="1"/>
    <col min="8427" max="8427" width="9.33203125" style="141" bestFit="1" customWidth="1"/>
    <col min="8428" max="8428" width="5.33203125" style="141" customWidth="1"/>
    <col min="8429" max="8429" width="10" style="141" customWidth="1"/>
    <col min="8430" max="8661" width="9.33203125" style="141"/>
    <col min="8662" max="8662" width="2.44140625" style="141" customWidth="1"/>
    <col min="8663" max="8663" width="16.6640625" style="141" customWidth="1"/>
    <col min="8664" max="8664" width="23.77734375" style="141" customWidth="1"/>
    <col min="8665" max="8665" width="5.109375" style="141" customWidth="1"/>
    <col min="8666" max="8666" width="18.33203125" style="141" customWidth="1"/>
    <col min="8667" max="8667" width="11.6640625" style="141" customWidth="1"/>
    <col min="8668" max="8668" width="11.77734375" style="141" customWidth="1"/>
    <col min="8669" max="8669" width="9.109375" style="141" customWidth="1"/>
    <col min="8670" max="8670" width="9.77734375" style="141" bestFit="1" customWidth="1"/>
    <col min="8671" max="8671" width="9.6640625" style="141" customWidth="1"/>
    <col min="8672" max="8673" width="12" style="141" customWidth="1"/>
    <col min="8674" max="8674" width="11.109375" style="141" customWidth="1"/>
    <col min="8675" max="8675" width="5.33203125" style="141" customWidth="1"/>
    <col min="8676" max="8676" width="9.6640625" style="141" customWidth="1"/>
    <col min="8677" max="8677" width="10.6640625" style="141" customWidth="1"/>
    <col min="8678" max="8680" width="9.6640625" style="141" customWidth="1"/>
    <col min="8681" max="8681" width="9.109375" style="141" bestFit="1" customWidth="1"/>
    <col min="8682" max="8682" width="9.77734375" style="141" bestFit="1" customWidth="1"/>
    <col min="8683" max="8683" width="9.33203125" style="141" bestFit="1" customWidth="1"/>
    <col min="8684" max="8684" width="5.33203125" style="141" customWidth="1"/>
    <col min="8685" max="8685" width="10" style="141" customWidth="1"/>
    <col min="8686" max="8917" width="9.33203125" style="141"/>
    <col min="8918" max="8918" width="2.44140625" style="141" customWidth="1"/>
    <col min="8919" max="8919" width="16.6640625" style="141" customWidth="1"/>
    <col min="8920" max="8920" width="23.77734375" style="141" customWidth="1"/>
    <col min="8921" max="8921" width="5.109375" style="141" customWidth="1"/>
    <col min="8922" max="8922" width="18.33203125" style="141" customWidth="1"/>
    <col min="8923" max="8923" width="11.6640625" style="141" customWidth="1"/>
    <col min="8924" max="8924" width="11.77734375" style="141" customWidth="1"/>
    <col min="8925" max="8925" width="9.109375" style="141" customWidth="1"/>
    <col min="8926" max="8926" width="9.77734375" style="141" bestFit="1" customWidth="1"/>
    <col min="8927" max="8927" width="9.6640625" style="141" customWidth="1"/>
    <col min="8928" max="8929" width="12" style="141" customWidth="1"/>
    <col min="8930" max="8930" width="11.109375" style="141" customWidth="1"/>
    <col min="8931" max="8931" width="5.33203125" style="141" customWidth="1"/>
    <col min="8932" max="8932" width="9.6640625" style="141" customWidth="1"/>
    <col min="8933" max="8933" width="10.6640625" style="141" customWidth="1"/>
    <col min="8934" max="8936" width="9.6640625" style="141" customWidth="1"/>
    <col min="8937" max="8937" width="9.109375" style="141" bestFit="1" customWidth="1"/>
    <col min="8938" max="8938" width="9.77734375" style="141" bestFit="1" customWidth="1"/>
    <col min="8939" max="8939" width="9.33203125" style="141" bestFit="1" customWidth="1"/>
    <col min="8940" max="8940" width="5.33203125" style="141" customWidth="1"/>
    <col min="8941" max="8941" width="10" style="141" customWidth="1"/>
    <col min="8942" max="9173" width="9.33203125" style="141"/>
    <col min="9174" max="9174" width="2.44140625" style="141" customWidth="1"/>
    <col min="9175" max="9175" width="16.6640625" style="141" customWidth="1"/>
    <col min="9176" max="9176" width="23.77734375" style="141" customWidth="1"/>
    <col min="9177" max="9177" width="5.109375" style="141" customWidth="1"/>
    <col min="9178" max="9178" width="18.33203125" style="141" customWidth="1"/>
    <col min="9179" max="9179" width="11.6640625" style="141" customWidth="1"/>
    <col min="9180" max="9180" width="11.77734375" style="141" customWidth="1"/>
    <col min="9181" max="9181" width="9.109375" style="141" customWidth="1"/>
    <col min="9182" max="9182" width="9.77734375" style="141" bestFit="1" customWidth="1"/>
    <col min="9183" max="9183" width="9.6640625" style="141" customWidth="1"/>
    <col min="9184" max="9185" width="12" style="141" customWidth="1"/>
    <col min="9186" max="9186" width="11.109375" style="141" customWidth="1"/>
    <col min="9187" max="9187" width="5.33203125" style="141" customWidth="1"/>
    <col min="9188" max="9188" width="9.6640625" style="141" customWidth="1"/>
    <col min="9189" max="9189" width="10.6640625" style="141" customWidth="1"/>
    <col min="9190" max="9192" width="9.6640625" style="141" customWidth="1"/>
    <col min="9193" max="9193" width="9.109375" style="141" bestFit="1" customWidth="1"/>
    <col min="9194" max="9194" width="9.77734375" style="141" bestFit="1" customWidth="1"/>
    <col min="9195" max="9195" width="9.33203125" style="141" bestFit="1" customWidth="1"/>
    <col min="9196" max="9196" width="5.33203125" style="141" customWidth="1"/>
    <col min="9197" max="9197" width="10" style="141" customWidth="1"/>
    <col min="9198" max="9429" width="9.33203125" style="141"/>
    <col min="9430" max="9430" width="2.44140625" style="141" customWidth="1"/>
    <col min="9431" max="9431" width="16.6640625" style="141" customWidth="1"/>
    <col min="9432" max="9432" width="23.77734375" style="141" customWidth="1"/>
    <col min="9433" max="9433" width="5.109375" style="141" customWidth="1"/>
    <col min="9434" max="9434" width="18.33203125" style="141" customWidth="1"/>
    <col min="9435" max="9435" width="11.6640625" style="141" customWidth="1"/>
    <col min="9436" max="9436" width="11.77734375" style="141" customWidth="1"/>
    <col min="9437" max="9437" width="9.109375" style="141" customWidth="1"/>
    <col min="9438" max="9438" width="9.77734375" style="141" bestFit="1" customWidth="1"/>
    <col min="9439" max="9439" width="9.6640625" style="141" customWidth="1"/>
    <col min="9440" max="9441" width="12" style="141" customWidth="1"/>
    <col min="9442" max="9442" width="11.109375" style="141" customWidth="1"/>
    <col min="9443" max="9443" width="5.33203125" style="141" customWidth="1"/>
    <col min="9444" max="9444" width="9.6640625" style="141" customWidth="1"/>
    <col min="9445" max="9445" width="10.6640625" style="141" customWidth="1"/>
    <col min="9446" max="9448" width="9.6640625" style="141" customWidth="1"/>
    <col min="9449" max="9449" width="9.109375" style="141" bestFit="1" customWidth="1"/>
    <col min="9450" max="9450" width="9.77734375" style="141" bestFit="1" customWidth="1"/>
    <col min="9451" max="9451" width="9.33203125" style="141" bestFit="1" customWidth="1"/>
    <col min="9452" max="9452" width="5.33203125" style="141" customWidth="1"/>
    <col min="9453" max="9453" width="10" style="141" customWidth="1"/>
    <col min="9454" max="9685" width="9.33203125" style="141"/>
    <col min="9686" max="9686" width="2.44140625" style="141" customWidth="1"/>
    <col min="9687" max="9687" width="16.6640625" style="141" customWidth="1"/>
    <col min="9688" max="9688" width="23.77734375" style="141" customWidth="1"/>
    <col min="9689" max="9689" width="5.109375" style="141" customWidth="1"/>
    <col min="9690" max="9690" width="18.33203125" style="141" customWidth="1"/>
    <col min="9691" max="9691" width="11.6640625" style="141" customWidth="1"/>
    <col min="9692" max="9692" width="11.77734375" style="141" customWidth="1"/>
    <col min="9693" max="9693" width="9.109375" style="141" customWidth="1"/>
    <col min="9694" max="9694" width="9.77734375" style="141" bestFit="1" customWidth="1"/>
    <col min="9695" max="9695" width="9.6640625" style="141" customWidth="1"/>
    <col min="9696" max="9697" width="12" style="141" customWidth="1"/>
    <col min="9698" max="9698" width="11.109375" style="141" customWidth="1"/>
    <col min="9699" max="9699" width="5.33203125" style="141" customWidth="1"/>
    <col min="9700" max="9700" width="9.6640625" style="141" customWidth="1"/>
    <col min="9701" max="9701" width="10.6640625" style="141" customWidth="1"/>
    <col min="9702" max="9704" width="9.6640625" style="141" customWidth="1"/>
    <col min="9705" max="9705" width="9.109375" style="141" bestFit="1" customWidth="1"/>
    <col min="9706" max="9706" width="9.77734375" style="141" bestFit="1" customWidth="1"/>
    <col min="9707" max="9707" width="9.33203125" style="141" bestFit="1" customWidth="1"/>
    <col min="9708" max="9708" width="5.33203125" style="141" customWidth="1"/>
    <col min="9709" max="9709" width="10" style="141" customWidth="1"/>
    <col min="9710" max="9941" width="9.33203125" style="141"/>
    <col min="9942" max="9942" width="2.44140625" style="141" customWidth="1"/>
    <col min="9943" max="9943" width="16.6640625" style="141" customWidth="1"/>
    <col min="9944" max="9944" width="23.77734375" style="141" customWidth="1"/>
    <col min="9945" max="9945" width="5.109375" style="141" customWidth="1"/>
    <col min="9946" max="9946" width="18.33203125" style="141" customWidth="1"/>
    <col min="9947" max="9947" width="11.6640625" style="141" customWidth="1"/>
    <col min="9948" max="9948" width="11.77734375" style="141" customWidth="1"/>
    <col min="9949" max="9949" width="9.109375" style="141" customWidth="1"/>
    <col min="9950" max="9950" width="9.77734375" style="141" bestFit="1" customWidth="1"/>
    <col min="9951" max="9951" width="9.6640625" style="141" customWidth="1"/>
    <col min="9952" max="9953" width="12" style="141" customWidth="1"/>
    <col min="9954" max="9954" width="11.109375" style="141" customWidth="1"/>
    <col min="9955" max="9955" width="5.33203125" style="141" customWidth="1"/>
    <col min="9956" max="9956" width="9.6640625" style="141" customWidth="1"/>
    <col min="9957" max="9957" width="10.6640625" style="141" customWidth="1"/>
    <col min="9958" max="9960" width="9.6640625" style="141" customWidth="1"/>
    <col min="9961" max="9961" width="9.109375" style="141" bestFit="1" customWidth="1"/>
    <col min="9962" max="9962" width="9.77734375" style="141" bestFit="1" customWidth="1"/>
    <col min="9963" max="9963" width="9.33203125" style="141" bestFit="1" customWidth="1"/>
    <col min="9964" max="9964" width="5.33203125" style="141" customWidth="1"/>
    <col min="9965" max="9965" width="10" style="141" customWidth="1"/>
    <col min="9966" max="10197" width="9.33203125" style="141"/>
    <col min="10198" max="10198" width="2.44140625" style="141" customWidth="1"/>
    <col min="10199" max="10199" width="16.6640625" style="141" customWidth="1"/>
    <col min="10200" max="10200" width="23.77734375" style="141" customWidth="1"/>
    <col min="10201" max="10201" width="5.109375" style="141" customWidth="1"/>
    <col min="10202" max="10202" width="18.33203125" style="141" customWidth="1"/>
    <col min="10203" max="10203" width="11.6640625" style="141" customWidth="1"/>
    <col min="10204" max="10204" width="11.77734375" style="141" customWidth="1"/>
    <col min="10205" max="10205" width="9.109375" style="141" customWidth="1"/>
    <col min="10206" max="10206" width="9.77734375" style="141" bestFit="1" customWidth="1"/>
    <col min="10207" max="10207" width="9.6640625" style="141" customWidth="1"/>
    <col min="10208" max="10209" width="12" style="141" customWidth="1"/>
    <col min="10210" max="10210" width="11.109375" style="141" customWidth="1"/>
    <col min="10211" max="10211" width="5.33203125" style="141" customWidth="1"/>
    <col min="10212" max="10212" width="9.6640625" style="141" customWidth="1"/>
    <col min="10213" max="10213" width="10.6640625" style="141" customWidth="1"/>
    <col min="10214" max="10216" width="9.6640625" style="141" customWidth="1"/>
    <col min="10217" max="10217" width="9.109375" style="141" bestFit="1" customWidth="1"/>
    <col min="10218" max="10218" width="9.77734375" style="141" bestFit="1" customWidth="1"/>
    <col min="10219" max="10219" width="9.33203125" style="141" bestFit="1" customWidth="1"/>
    <col min="10220" max="10220" width="5.33203125" style="141" customWidth="1"/>
    <col min="10221" max="10221" width="10" style="141" customWidth="1"/>
    <col min="10222" max="10453" width="9.33203125" style="141"/>
    <col min="10454" max="10454" width="2.44140625" style="141" customWidth="1"/>
    <col min="10455" max="10455" width="16.6640625" style="141" customWidth="1"/>
    <col min="10456" max="10456" width="23.77734375" style="141" customWidth="1"/>
    <col min="10457" max="10457" width="5.109375" style="141" customWidth="1"/>
    <col min="10458" max="10458" width="18.33203125" style="141" customWidth="1"/>
    <col min="10459" max="10459" width="11.6640625" style="141" customWidth="1"/>
    <col min="10460" max="10460" width="11.77734375" style="141" customWidth="1"/>
    <col min="10461" max="10461" width="9.109375" style="141" customWidth="1"/>
    <col min="10462" max="10462" width="9.77734375" style="141" bestFit="1" customWidth="1"/>
    <col min="10463" max="10463" width="9.6640625" style="141" customWidth="1"/>
    <col min="10464" max="10465" width="12" style="141" customWidth="1"/>
    <col min="10466" max="10466" width="11.109375" style="141" customWidth="1"/>
    <col min="10467" max="10467" width="5.33203125" style="141" customWidth="1"/>
    <col min="10468" max="10468" width="9.6640625" style="141" customWidth="1"/>
    <col min="10469" max="10469" width="10.6640625" style="141" customWidth="1"/>
    <col min="10470" max="10472" width="9.6640625" style="141" customWidth="1"/>
    <col min="10473" max="10473" width="9.109375" style="141" bestFit="1" customWidth="1"/>
    <col min="10474" max="10474" width="9.77734375" style="141" bestFit="1" customWidth="1"/>
    <col min="10475" max="10475" width="9.33203125" style="141" bestFit="1" customWidth="1"/>
    <col min="10476" max="10476" width="5.33203125" style="141" customWidth="1"/>
    <col min="10477" max="10477" width="10" style="141" customWidth="1"/>
    <col min="10478" max="10709" width="9.33203125" style="141"/>
    <col min="10710" max="10710" width="2.44140625" style="141" customWidth="1"/>
    <col min="10711" max="10711" width="16.6640625" style="141" customWidth="1"/>
    <col min="10712" max="10712" width="23.77734375" style="141" customWidth="1"/>
    <col min="10713" max="10713" width="5.109375" style="141" customWidth="1"/>
    <col min="10714" max="10714" width="18.33203125" style="141" customWidth="1"/>
    <col min="10715" max="10715" width="11.6640625" style="141" customWidth="1"/>
    <col min="10716" max="10716" width="11.77734375" style="141" customWidth="1"/>
    <col min="10717" max="10717" width="9.109375" style="141" customWidth="1"/>
    <col min="10718" max="10718" width="9.77734375" style="141" bestFit="1" customWidth="1"/>
    <col min="10719" max="10719" width="9.6640625" style="141" customWidth="1"/>
    <col min="10720" max="10721" width="12" style="141" customWidth="1"/>
    <col min="10722" max="10722" width="11.109375" style="141" customWidth="1"/>
    <col min="10723" max="10723" width="5.33203125" style="141" customWidth="1"/>
    <col min="10724" max="10724" width="9.6640625" style="141" customWidth="1"/>
    <col min="10725" max="10725" width="10.6640625" style="141" customWidth="1"/>
    <col min="10726" max="10728" width="9.6640625" style="141" customWidth="1"/>
    <col min="10729" max="10729" width="9.109375" style="141" bestFit="1" customWidth="1"/>
    <col min="10730" max="10730" width="9.77734375" style="141" bestFit="1" customWidth="1"/>
    <col min="10731" max="10731" width="9.33203125" style="141" bestFit="1" customWidth="1"/>
    <col min="10732" max="10732" width="5.33203125" style="141" customWidth="1"/>
    <col min="10733" max="10733" width="10" style="141" customWidth="1"/>
    <col min="10734" max="10965" width="9.33203125" style="141"/>
    <col min="10966" max="10966" width="2.44140625" style="141" customWidth="1"/>
    <col min="10967" max="10967" width="16.6640625" style="141" customWidth="1"/>
    <col min="10968" max="10968" width="23.77734375" style="141" customWidth="1"/>
    <col min="10969" max="10969" width="5.109375" style="141" customWidth="1"/>
    <col min="10970" max="10970" width="18.33203125" style="141" customWidth="1"/>
    <col min="10971" max="10971" width="11.6640625" style="141" customWidth="1"/>
    <col min="10972" max="10972" width="11.77734375" style="141" customWidth="1"/>
    <col min="10973" max="10973" width="9.109375" style="141" customWidth="1"/>
    <col min="10974" max="10974" width="9.77734375" style="141" bestFit="1" customWidth="1"/>
    <col min="10975" max="10975" width="9.6640625" style="141" customWidth="1"/>
    <col min="10976" max="10977" width="12" style="141" customWidth="1"/>
    <col min="10978" max="10978" width="11.109375" style="141" customWidth="1"/>
    <col min="10979" max="10979" width="5.33203125" style="141" customWidth="1"/>
    <col min="10980" max="10980" width="9.6640625" style="141" customWidth="1"/>
    <col min="10981" max="10981" width="10.6640625" style="141" customWidth="1"/>
    <col min="10982" max="10984" width="9.6640625" style="141" customWidth="1"/>
    <col min="10985" max="10985" width="9.109375" style="141" bestFit="1" customWidth="1"/>
    <col min="10986" max="10986" width="9.77734375" style="141" bestFit="1" customWidth="1"/>
    <col min="10987" max="10987" width="9.33203125" style="141" bestFit="1" customWidth="1"/>
    <col min="10988" max="10988" width="5.33203125" style="141" customWidth="1"/>
    <col min="10989" max="10989" width="10" style="141" customWidth="1"/>
    <col min="10990" max="11221" width="9.33203125" style="141"/>
    <col min="11222" max="11222" width="2.44140625" style="141" customWidth="1"/>
    <col min="11223" max="11223" width="16.6640625" style="141" customWidth="1"/>
    <col min="11224" max="11224" width="23.77734375" style="141" customWidth="1"/>
    <col min="11225" max="11225" width="5.109375" style="141" customWidth="1"/>
    <col min="11226" max="11226" width="18.33203125" style="141" customWidth="1"/>
    <col min="11227" max="11227" width="11.6640625" style="141" customWidth="1"/>
    <col min="11228" max="11228" width="11.77734375" style="141" customWidth="1"/>
    <col min="11229" max="11229" width="9.109375" style="141" customWidth="1"/>
    <col min="11230" max="11230" width="9.77734375" style="141" bestFit="1" customWidth="1"/>
    <col min="11231" max="11231" width="9.6640625" style="141" customWidth="1"/>
    <col min="11232" max="11233" width="12" style="141" customWidth="1"/>
    <col min="11234" max="11234" width="11.109375" style="141" customWidth="1"/>
    <col min="11235" max="11235" width="5.33203125" style="141" customWidth="1"/>
    <col min="11236" max="11236" width="9.6640625" style="141" customWidth="1"/>
    <col min="11237" max="11237" width="10.6640625" style="141" customWidth="1"/>
    <col min="11238" max="11240" width="9.6640625" style="141" customWidth="1"/>
    <col min="11241" max="11241" width="9.109375" style="141" bestFit="1" customWidth="1"/>
    <col min="11242" max="11242" width="9.77734375" style="141" bestFit="1" customWidth="1"/>
    <col min="11243" max="11243" width="9.33203125" style="141" bestFit="1" customWidth="1"/>
    <col min="11244" max="11244" width="5.33203125" style="141" customWidth="1"/>
    <col min="11245" max="11245" width="10" style="141" customWidth="1"/>
    <col min="11246" max="11477" width="9.33203125" style="141"/>
    <col min="11478" max="11478" width="2.44140625" style="141" customWidth="1"/>
    <col min="11479" max="11479" width="16.6640625" style="141" customWidth="1"/>
    <col min="11480" max="11480" width="23.77734375" style="141" customWidth="1"/>
    <col min="11481" max="11481" width="5.109375" style="141" customWidth="1"/>
    <col min="11482" max="11482" width="18.33203125" style="141" customWidth="1"/>
    <col min="11483" max="11483" width="11.6640625" style="141" customWidth="1"/>
    <col min="11484" max="11484" width="11.77734375" style="141" customWidth="1"/>
    <col min="11485" max="11485" width="9.109375" style="141" customWidth="1"/>
    <col min="11486" max="11486" width="9.77734375" style="141" bestFit="1" customWidth="1"/>
    <col min="11487" max="11487" width="9.6640625" style="141" customWidth="1"/>
    <col min="11488" max="11489" width="12" style="141" customWidth="1"/>
    <col min="11490" max="11490" width="11.109375" style="141" customWidth="1"/>
    <col min="11491" max="11491" width="5.33203125" style="141" customWidth="1"/>
    <col min="11492" max="11492" width="9.6640625" style="141" customWidth="1"/>
    <col min="11493" max="11493" width="10.6640625" style="141" customWidth="1"/>
    <col min="11494" max="11496" width="9.6640625" style="141" customWidth="1"/>
    <col min="11497" max="11497" width="9.109375" style="141" bestFit="1" customWidth="1"/>
    <col min="11498" max="11498" width="9.77734375" style="141" bestFit="1" customWidth="1"/>
    <col min="11499" max="11499" width="9.33203125" style="141" bestFit="1" customWidth="1"/>
    <col min="11500" max="11500" width="5.33203125" style="141" customWidth="1"/>
    <col min="11501" max="11501" width="10" style="141" customWidth="1"/>
    <col min="11502" max="11733" width="9.33203125" style="141"/>
    <col min="11734" max="11734" width="2.44140625" style="141" customWidth="1"/>
    <col min="11735" max="11735" width="16.6640625" style="141" customWidth="1"/>
    <col min="11736" max="11736" width="23.77734375" style="141" customWidth="1"/>
    <col min="11737" max="11737" width="5.109375" style="141" customWidth="1"/>
    <col min="11738" max="11738" width="18.33203125" style="141" customWidth="1"/>
    <col min="11739" max="11739" width="11.6640625" style="141" customWidth="1"/>
    <col min="11740" max="11740" width="11.77734375" style="141" customWidth="1"/>
    <col min="11741" max="11741" width="9.109375" style="141" customWidth="1"/>
    <col min="11742" max="11742" width="9.77734375" style="141" bestFit="1" customWidth="1"/>
    <col min="11743" max="11743" width="9.6640625" style="141" customWidth="1"/>
    <col min="11744" max="11745" width="12" style="141" customWidth="1"/>
    <col min="11746" max="11746" width="11.109375" style="141" customWidth="1"/>
    <col min="11747" max="11747" width="5.33203125" style="141" customWidth="1"/>
    <col min="11748" max="11748" width="9.6640625" style="141" customWidth="1"/>
    <col min="11749" max="11749" width="10.6640625" style="141" customWidth="1"/>
    <col min="11750" max="11752" width="9.6640625" style="141" customWidth="1"/>
    <col min="11753" max="11753" width="9.109375" style="141" bestFit="1" customWidth="1"/>
    <col min="11754" max="11754" width="9.77734375" style="141" bestFit="1" customWidth="1"/>
    <col min="11755" max="11755" width="9.33203125" style="141" bestFit="1" customWidth="1"/>
    <col min="11756" max="11756" width="5.33203125" style="141" customWidth="1"/>
    <col min="11757" max="11757" width="10" style="141" customWidth="1"/>
    <col min="11758" max="11989" width="9.33203125" style="141"/>
    <col min="11990" max="11990" width="2.44140625" style="141" customWidth="1"/>
    <col min="11991" max="11991" width="16.6640625" style="141" customWidth="1"/>
    <col min="11992" max="11992" width="23.77734375" style="141" customWidth="1"/>
    <col min="11993" max="11993" width="5.109375" style="141" customWidth="1"/>
    <col min="11994" max="11994" width="18.33203125" style="141" customWidth="1"/>
    <col min="11995" max="11995" width="11.6640625" style="141" customWidth="1"/>
    <col min="11996" max="11996" width="11.77734375" style="141" customWidth="1"/>
    <col min="11997" max="11997" width="9.109375" style="141" customWidth="1"/>
    <col min="11998" max="11998" width="9.77734375" style="141" bestFit="1" customWidth="1"/>
    <col min="11999" max="11999" width="9.6640625" style="141" customWidth="1"/>
    <col min="12000" max="12001" width="12" style="141" customWidth="1"/>
    <col min="12002" max="12002" width="11.109375" style="141" customWidth="1"/>
    <col min="12003" max="12003" width="5.33203125" style="141" customWidth="1"/>
    <col min="12004" max="12004" width="9.6640625" style="141" customWidth="1"/>
    <col min="12005" max="12005" width="10.6640625" style="141" customWidth="1"/>
    <col min="12006" max="12008" width="9.6640625" style="141" customWidth="1"/>
    <col min="12009" max="12009" width="9.109375" style="141" bestFit="1" customWidth="1"/>
    <col min="12010" max="12010" width="9.77734375" style="141" bestFit="1" customWidth="1"/>
    <col min="12011" max="12011" width="9.33203125" style="141" bestFit="1" customWidth="1"/>
    <col min="12012" max="12012" width="5.33203125" style="141" customWidth="1"/>
    <col min="12013" max="12013" width="10" style="141" customWidth="1"/>
    <col min="12014" max="12245" width="9.33203125" style="141"/>
    <col min="12246" max="12246" width="2.44140625" style="141" customWidth="1"/>
    <col min="12247" max="12247" width="16.6640625" style="141" customWidth="1"/>
    <col min="12248" max="12248" width="23.77734375" style="141" customWidth="1"/>
    <col min="12249" max="12249" width="5.109375" style="141" customWidth="1"/>
    <col min="12250" max="12250" width="18.33203125" style="141" customWidth="1"/>
    <col min="12251" max="12251" width="11.6640625" style="141" customWidth="1"/>
    <col min="12252" max="12252" width="11.77734375" style="141" customWidth="1"/>
    <col min="12253" max="12253" width="9.109375" style="141" customWidth="1"/>
    <col min="12254" max="12254" width="9.77734375" style="141" bestFit="1" customWidth="1"/>
    <col min="12255" max="12255" width="9.6640625" style="141" customWidth="1"/>
    <col min="12256" max="12257" width="12" style="141" customWidth="1"/>
    <col min="12258" max="12258" width="11.109375" style="141" customWidth="1"/>
    <col min="12259" max="12259" width="5.33203125" style="141" customWidth="1"/>
    <col min="12260" max="12260" width="9.6640625" style="141" customWidth="1"/>
    <col min="12261" max="12261" width="10.6640625" style="141" customWidth="1"/>
    <col min="12262" max="12264" width="9.6640625" style="141" customWidth="1"/>
    <col min="12265" max="12265" width="9.109375" style="141" bestFit="1" customWidth="1"/>
    <col min="12266" max="12266" width="9.77734375" style="141" bestFit="1" customWidth="1"/>
    <col min="12267" max="12267" width="9.33203125" style="141" bestFit="1" customWidth="1"/>
    <col min="12268" max="12268" width="5.33203125" style="141" customWidth="1"/>
    <col min="12269" max="12269" width="10" style="141" customWidth="1"/>
    <col min="12270" max="12501" width="9.33203125" style="141"/>
    <col min="12502" max="12502" width="2.44140625" style="141" customWidth="1"/>
    <col min="12503" max="12503" width="16.6640625" style="141" customWidth="1"/>
    <col min="12504" max="12504" width="23.77734375" style="141" customWidth="1"/>
    <col min="12505" max="12505" width="5.109375" style="141" customWidth="1"/>
    <col min="12506" max="12506" width="18.33203125" style="141" customWidth="1"/>
    <col min="12507" max="12507" width="11.6640625" style="141" customWidth="1"/>
    <col min="12508" max="12508" width="11.77734375" style="141" customWidth="1"/>
    <col min="12509" max="12509" width="9.109375" style="141" customWidth="1"/>
    <col min="12510" max="12510" width="9.77734375" style="141" bestFit="1" customWidth="1"/>
    <col min="12511" max="12511" width="9.6640625" style="141" customWidth="1"/>
    <col min="12512" max="12513" width="12" style="141" customWidth="1"/>
    <col min="12514" max="12514" width="11.109375" style="141" customWidth="1"/>
    <col min="12515" max="12515" width="5.33203125" style="141" customWidth="1"/>
    <col min="12516" max="12516" width="9.6640625" style="141" customWidth="1"/>
    <col min="12517" max="12517" width="10.6640625" style="141" customWidth="1"/>
    <col min="12518" max="12520" width="9.6640625" style="141" customWidth="1"/>
    <col min="12521" max="12521" width="9.109375" style="141" bestFit="1" customWidth="1"/>
    <col min="12522" max="12522" width="9.77734375" style="141" bestFit="1" customWidth="1"/>
    <col min="12523" max="12523" width="9.33203125" style="141" bestFit="1" customWidth="1"/>
    <col min="12524" max="12524" width="5.33203125" style="141" customWidth="1"/>
    <col min="12525" max="12525" width="10" style="141" customWidth="1"/>
    <col min="12526" max="12757" width="9.33203125" style="141"/>
    <col min="12758" max="12758" width="2.44140625" style="141" customWidth="1"/>
    <col min="12759" max="12759" width="16.6640625" style="141" customWidth="1"/>
    <col min="12760" max="12760" width="23.77734375" style="141" customWidth="1"/>
    <col min="12761" max="12761" width="5.109375" style="141" customWidth="1"/>
    <col min="12762" max="12762" width="18.33203125" style="141" customWidth="1"/>
    <col min="12763" max="12763" width="11.6640625" style="141" customWidth="1"/>
    <col min="12764" max="12764" width="11.77734375" style="141" customWidth="1"/>
    <col min="12765" max="12765" width="9.109375" style="141" customWidth="1"/>
    <col min="12766" max="12766" width="9.77734375" style="141" bestFit="1" customWidth="1"/>
    <col min="12767" max="12767" width="9.6640625" style="141" customWidth="1"/>
    <col min="12768" max="12769" width="12" style="141" customWidth="1"/>
    <col min="12770" max="12770" width="11.109375" style="141" customWidth="1"/>
    <col min="12771" max="12771" width="5.33203125" style="141" customWidth="1"/>
    <col min="12772" max="12772" width="9.6640625" style="141" customWidth="1"/>
    <col min="12773" max="12773" width="10.6640625" style="141" customWidth="1"/>
    <col min="12774" max="12776" width="9.6640625" style="141" customWidth="1"/>
    <col min="12777" max="12777" width="9.109375" style="141" bestFit="1" customWidth="1"/>
    <col min="12778" max="12778" width="9.77734375" style="141" bestFit="1" customWidth="1"/>
    <col min="12779" max="12779" width="9.33203125" style="141" bestFit="1" customWidth="1"/>
    <col min="12780" max="12780" width="5.33203125" style="141" customWidth="1"/>
    <col min="12781" max="12781" width="10" style="141" customWidth="1"/>
    <col min="12782" max="13013" width="9.33203125" style="141"/>
    <col min="13014" max="13014" width="2.44140625" style="141" customWidth="1"/>
    <col min="13015" max="13015" width="16.6640625" style="141" customWidth="1"/>
    <col min="13016" max="13016" width="23.77734375" style="141" customWidth="1"/>
    <col min="13017" max="13017" width="5.109375" style="141" customWidth="1"/>
    <col min="13018" max="13018" width="18.33203125" style="141" customWidth="1"/>
    <col min="13019" max="13019" width="11.6640625" style="141" customWidth="1"/>
    <col min="13020" max="13020" width="11.77734375" style="141" customWidth="1"/>
    <col min="13021" max="13021" width="9.109375" style="141" customWidth="1"/>
    <col min="13022" max="13022" width="9.77734375" style="141" bestFit="1" customWidth="1"/>
    <col min="13023" max="13023" width="9.6640625" style="141" customWidth="1"/>
    <col min="13024" max="13025" width="12" style="141" customWidth="1"/>
    <col min="13026" max="13026" width="11.109375" style="141" customWidth="1"/>
    <col min="13027" max="13027" width="5.33203125" style="141" customWidth="1"/>
    <col min="13028" max="13028" width="9.6640625" style="141" customWidth="1"/>
    <col min="13029" max="13029" width="10.6640625" style="141" customWidth="1"/>
    <col min="13030" max="13032" width="9.6640625" style="141" customWidth="1"/>
    <col min="13033" max="13033" width="9.109375" style="141" bestFit="1" customWidth="1"/>
    <col min="13034" max="13034" width="9.77734375" style="141" bestFit="1" customWidth="1"/>
    <col min="13035" max="13035" width="9.33203125" style="141" bestFit="1" customWidth="1"/>
    <col min="13036" max="13036" width="5.33203125" style="141" customWidth="1"/>
    <col min="13037" max="13037" width="10" style="141" customWidth="1"/>
    <col min="13038" max="13269" width="9.33203125" style="141"/>
    <col min="13270" max="13270" width="2.44140625" style="141" customWidth="1"/>
    <col min="13271" max="13271" width="16.6640625" style="141" customWidth="1"/>
    <col min="13272" max="13272" width="23.77734375" style="141" customWidth="1"/>
    <col min="13273" max="13273" width="5.109375" style="141" customWidth="1"/>
    <col min="13274" max="13274" width="18.33203125" style="141" customWidth="1"/>
    <col min="13275" max="13275" width="11.6640625" style="141" customWidth="1"/>
    <col min="13276" max="13276" width="11.77734375" style="141" customWidth="1"/>
    <col min="13277" max="13277" width="9.109375" style="141" customWidth="1"/>
    <col min="13278" max="13278" width="9.77734375" style="141" bestFit="1" customWidth="1"/>
    <col min="13279" max="13279" width="9.6640625" style="141" customWidth="1"/>
    <col min="13280" max="13281" width="12" style="141" customWidth="1"/>
    <col min="13282" max="13282" width="11.109375" style="141" customWidth="1"/>
    <col min="13283" max="13283" width="5.33203125" style="141" customWidth="1"/>
    <col min="13284" max="13284" width="9.6640625" style="141" customWidth="1"/>
    <col min="13285" max="13285" width="10.6640625" style="141" customWidth="1"/>
    <col min="13286" max="13288" width="9.6640625" style="141" customWidth="1"/>
    <col min="13289" max="13289" width="9.109375" style="141" bestFit="1" customWidth="1"/>
    <col min="13290" max="13290" width="9.77734375" style="141" bestFit="1" customWidth="1"/>
    <col min="13291" max="13291" width="9.33203125" style="141" bestFit="1" customWidth="1"/>
    <col min="13292" max="13292" width="5.33203125" style="141" customWidth="1"/>
    <col min="13293" max="13293" width="10" style="141" customWidth="1"/>
    <col min="13294" max="13525" width="9.33203125" style="141"/>
    <col min="13526" max="13526" width="2.44140625" style="141" customWidth="1"/>
    <col min="13527" max="13527" width="16.6640625" style="141" customWidth="1"/>
    <col min="13528" max="13528" width="23.77734375" style="141" customWidth="1"/>
    <col min="13529" max="13529" width="5.109375" style="141" customWidth="1"/>
    <col min="13530" max="13530" width="18.33203125" style="141" customWidth="1"/>
    <col min="13531" max="13531" width="11.6640625" style="141" customWidth="1"/>
    <col min="13532" max="13532" width="11.77734375" style="141" customWidth="1"/>
    <col min="13533" max="13533" width="9.109375" style="141" customWidth="1"/>
    <col min="13534" max="13534" width="9.77734375" style="141" bestFit="1" customWidth="1"/>
    <col min="13535" max="13535" width="9.6640625" style="141" customWidth="1"/>
    <col min="13536" max="13537" width="12" style="141" customWidth="1"/>
    <col min="13538" max="13538" width="11.109375" style="141" customWidth="1"/>
    <col min="13539" max="13539" width="5.33203125" style="141" customWidth="1"/>
    <col min="13540" max="13540" width="9.6640625" style="141" customWidth="1"/>
    <col min="13541" max="13541" width="10.6640625" style="141" customWidth="1"/>
    <col min="13542" max="13544" width="9.6640625" style="141" customWidth="1"/>
    <col min="13545" max="13545" width="9.109375" style="141" bestFit="1" customWidth="1"/>
    <col min="13546" max="13546" width="9.77734375" style="141" bestFit="1" customWidth="1"/>
    <col min="13547" max="13547" width="9.33203125" style="141" bestFit="1" customWidth="1"/>
    <col min="13548" max="13548" width="5.33203125" style="141" customWidth="1"/>
    <col min="13549" max="13549" width="10" style="141" customWidth="1"/>
    <col min="13550" max="13781" width="9.33203125" style="141"/>
    <col min="13782" max="13782" width="2.44140625" style="141" customWidth="1"/>
    <col min="13783" max="13783" width="16.6640625" style="141" customWidth="1"/>
    <col min="13784" max="13784" width="23.77734375" style="141" customWidth="1"/>
    <col min="13785" max="13785" width="5.109375" style="141" customWidth="1"/>
    <col min="13786" max="13786" width="18.33203125" style="141" customWidth="1"/>
    <col min="13787" max="13787" width="11.6640625" style="141" customWidth="1"/>
    <col min="13788" max="13788" width="11.77734375" style="141" customWidth="1"/>
    <col min="13789" max="13789" width="9.109375" style="141" customWidth="1"/>
    <col min="13790" max="13790" width="9.77734375" style="141" bestFit="1" customWidth="1"/>
    <col min="13791" max="13791" width="9.6640625" style="141" customWidth="1"/>
    <col min="13792" max="13793" width="12" style="141" customWidth="1"/>
    <col min="13794" max="13794" width="11.109375" style="141" customWidth="1"/>
    <col min="13795" max="13795" width="5.33203125" style="141" customWidth="1"/>
    <col min="13796" max="13796" width="9.6640625" style="141" customWidth="1"/>
    <col min="13797" max="13797" width="10.6640625" style="141" customWidth="1"/>
    <col min="13798" max="13800" width="9.6640625" style="141" customWidth="1"/>
    <col min="13801" max="13801" width="9.109375" style="141" bestFit="1" customWidth="1"/>
    <col min="13802" max="13802" width="9.77734375" style="141" bestFit="1" customWidth="1"/>
    <col min="13803" max="13803" width="9.33203125" style="141" bestFit="1" customWidth="1"/>
    <col min="13804" max="13804" width="5.33203125" style="141" customWidth="1"/>
    <col min="13805" max="13805" width="10" style="141" customWidth="1"/>
    <col min="13806" max="14037" width="9.33203125" style="141"/>
    <col min="14038" max="14038" width="2.44140625" style="141" customWidth="1"/>
    <col min="14039" max="14039" width="16.6640625" style="141" customWidth="1"/>
    <col min="14040" max="14040" width="23.77734375" style="141" customWidth="1"/>
    <col min="14041" max="14041" width="5.109375" style="141" customWidth="1"/>
    <col min="14042" max="14042" width="18.33203125" style="141" customWidth="1"/>
    <col min="14043" max="14043" width="11.6640625" style="141" customWidth="1"/>
    <col min="14044" max="14044" width="11.77734375" style="141" customWidth="1"/>
    <col min="14045" max="14045" width="9.109375" style="141" customWidth="1"/>
    <col min="14046" max="14046" width="9.77734375" style="141" bestFit="1" customWidth="1"/>
    <col min="14047" max="14047" width="9.6640625" style="141" customWidth="1"/>
    <col min="14048" max="14049" width="12" style="141" customWidth="1"/>
    <col min="14050" max="14050" width="11.109375" style="141" customWidth="1"/>
    <col min="14051" max="14051" width="5.33203125" style="141" customWidth="1"/>
    <col min="14052" max="14052" width="9.6640625" style="141" customWidth="1"/>
    <col min="14053" max="14053" width="10.6640625" style="141" customWidth="1"/>
    <col min="14054" max="14056" width="9.6640625" style="141" customWidth="1"/>
    <col min="14057" max="14057" width="9.109375" style="141" bestFit="1" customWidth="1"/>
    <col min="14058" max="14058" width="9.77734375" style="141" bestFit="1" customWidth="1"/>
    <col min="14059" max="14059" width="9.33203125" style="141" bestFit="1" customWidth="1"/>
    <col min="14060" max="14060" width="5.33203125" style="141" customWidth="1"/>
    <col min="14061" max="14061" width="10" style="141" customWidth="1"/>
    <col min="14062" max="14293" width="9.33203125" style="141"/>
    <col min="14294" max="14294" width="2.44140625" style="141" customWidth="1"/>
    <col min="14295" max="14295" width="16.6640625" style="141" customWidth="1"/>
    <col min="14296" max="14296" width="23.77734375" style="141" customWidth="1"/>
    <col min="14297" max="14297" width="5.109375" style="141" customWidth="1"/>
    <col min="14298" max="14298" width="18.33203125" style="141" customWidth="1"/>
    <col min="14299" max="14299" width="11.6640625" style="141" customWidth="1"/>
    <col min="14300" max="14300" width="11.77734375" style="141" customWidth="1"/>
    <col min="14301" max="14301" width="9.109375" style="141" customWidth="1"/>
    <col min="14302" max="14302" width="9.77734375" style="141" bestFit="1" customWidth="1"/>
    <col min="14303" max="14303" width="9.6640625" style="141" customWidth="1"/>
    <col min="14304" max="14305" width="12" style="141" customWidth="1"/>
    <col min="14306" max="14306" width="11.109375" style="141" customWidth="1"/>
    <col min="14307" max="14307" width="5.33203125" style="141" customWidth="1"/>
    <col min="14308" max="14308" width="9.6640625" style="141" customWidth="1"/>
    <col min="14309" max="14309" width="10.6640625" style="141" customWidth="1"/>
    <col min="14310" max="14312" width="9.6640625" style="141" customWidth="1"/>
    <col min="14313" max="14313" width="9.109375" style="141" bestFit="1" customWidth="1"/>
    <col min="14314" max="14314" width="9.77734375" style="141" bestFit="1" customWidth="1"/>
    <col min="14315" max="14315" width="9.33203125" style="141" bestFit="1" customWidth="1"/>
    <col min="14316" max="14316" width="5.33203125" style="141" customWidth="1"/>
    <col min="14317" max="14317" width="10" style="141" customWidth="1"/>
    <col min="14318" max="14549" width="9.33203125" style="141"/>
    <col min="14550" max="14550" width="2.44140625" style="141" customWidth="1"/>
    <col min="14551" max="14551" width="16.6640625" style="141" customWidth="1"/>
    <col min="14552" max="14552" width="23.77734375" style="141" customWidth="1"/>
    <col min="14553" max="14553" width="5.109375" style="141" customWidth="1"/>
    <col min="14554" max="14554" width="18.33203125" style="141" customWidth="1"/>
    <col min="14555" max="14555" width="11.6640625" style="141" customWidth="1"/>
    <col min="14556" max="14556" width="11.77734375" style="141" customWidth="1"/>
    <col min="14557" max="14557" width="9.109375" style="141" customWidth="1"/>
    <col min="14558" max="14558" width="9.77734375" style="141" bestFit="1" customWidth="1"/>
    <col min="14559" max="14559" width="9.6640625" style="141" customWidth="1"/>
    <col min="14560" max="14561" width="12" style="141" customWidth="1"/>
    <col min="14562" max="14562" width="11.109375" style="141" customWidth="1"/>
    <col min="14563" max="14563" width="5.33203125" style="141" customWidth="1"/>
    <col min="14564" max="14564" width="9.6640625" style="141" customWidth="1"/>
    <col min="14565" max="14565" width="10.6640625" style="141" customWidth="1"/>
    <col min="14566" max="14568" width="9.6640625" style="141" customWidth="1"/>
    <col min="14569" max="14569" width="9.109375" style="141" bestFit="1" customWidth="1"/>
    <col min="14570" max="14570" width="9.77734375" style="141" bestFit="1" customWidth="1"/>
    <col min="14571" max="14571" width="9.33203125" style="141" bestFit="1" customWidth="1"/>
    <col min="14572" max="14572" width="5.33203125" style="141" customWidth="1"/>
    <col min="14573" max="14573" width="10" style="141" customWidth="1"/>
    <col min="14574" max="14805" width="9.33203125" style="141"/>
    <col min="14806" max="14806" width="2.44140625" style="141" customWidth="1"/>
    <col min="14807" max="14807" width="16.6640625" style="141" customWidth="1"/>
    <col min="14808" max="14808" width="23.77734375" style="141" customWidth="1"/>
    <col min="14809" max="14809" width="5.109375" style="141" customWidth="1"/>
    <col min="14810" max="14810" width="18.33203125" style="141" customWidth="1"/>
    <col min="14811" max="14811" width="11.6640625" style="141" customWidth="1"/>
    <col min="14812" max="14812" width="11.77734375" style="141" customWidth="1"/>
    <col min="14813" max="14813" width="9.109375" style="141" customWidth="1"/>
    <col min="14814" max="14814" width="9.77734375" style="141" bestFit="1" customWidth="1"/>
    <col min="14815" max="14815" width="9.6640625" style="141" customWidth="1"/>
    <col min="14816" max="14817" width="12" style="141" customWidth="1"/>
    <col min="14818" max="14818" width="11.109375" style="141" customWidth="1"/>
    <col min="14819" max="14819" width="5.33203125" style="141" customWidth="1"/>
    <col min="14820" max="14820" width="9.6640625" style="141" customWidth="1"/>
    <col min="14821" max="14821" width="10.6640625" style="141" customWidth="1"/>
    <col min="14822" max="14824" width="9.6640625" style="141" customWidth="1"/>
    <col min="14825" max="14825" width="9.109375" style="141" bestFit="1" customWidth="1"/>
    <col min="14826" max="14826" width="9.77734375" style="141" bestFit="1" customWidth="1"/>
    <col min="14827" max="14827" width="9.33203125" style="141" bestFit="1" customWidth="1"/>
    <col min="14828" max="14828" width="5.33203125" style="141" customWidth="1"/>
    <col min="14829" max="14829" width="10" style="141" customWidth="1"/>
    <col min="14830" max="15061" width="9.33203125" style="141"/>
    <col min="15062" max="15062" width="2.44140625" style="141" customWidth="1"/>
    <col min="15063" max="15063" width="16.6640625" style="141" customWidth="1"/>
    <col min="15064" max="15064" width="23.77734375" style="141" customWidth="1"/>
    <col min="15065" max="15065" width="5.109375" style="141" customWidth="1"/>
    <col min="15066" max="15066" width="18.33203125" style="141" customWidth="1"/>
    <col min="15067" max="15067" width="11.6640625" style="141" customWidth="1"/>
    <col min="15068" max="15068" width="11.77734375" style="141" customWidth="1"/>
    <col min="15069" max="15069" width="9.109375" style="141" customWidth="1"/>
    <col min="15070" max="15070" width="9.77734375" style="141" bestFit="1" customWidth="1"/>
    <col min="15071" max="15071" width="9.6640625" style="141" customWidth="1"/>
    <col min="15072" max="15073" width="12" style="141" customWidth="1"/>
    <col min="15074" max="15074" width="11.109375" style="141" customWidth="1"/>
    <col min="15075" max="15075" width="5.33203125" style="141" customWidth="1"/>
    <col min="15076" max="15076" width="9.6640625" style="141" customWidth="1"/>
    <col min="15077" max="15077" width="10.6640625" style="141" customWidth="1"/>
    <col min="15078" max="15080" width="9.6640625" style="141" customWidth="1"/>
    <col min="15081" max="15081" width="9.109375" style="141" bestFit="1" customWidth="1"/>
    <col min="15082" max="15082" width="9.77734375" style="141" bestFit="1" customWidth="1"/>
    <col min="15083" max="15083" width="9.33203125" style="141" bestFit="1" customWidth="1"/>
    <col min="15084" max="15084" width="5.33203125" style="141" customWidth="1"/>
    <col min="15085" max="15085" width="10" style="141" customWidth="1"/>
    <col min="15086" max="15317" width="9.33203125" style="141"/>
    <col min="15318" max="15318" width="2.44140625" style="141" customWidth="1"/>
    <col min="15319" max="15319" width="16.6640625" style="141" customWidth="1"/>
    <col min="15320" max="15320" width="23.77734375" style="141" customWidth="1"/>
    <col min="15321" max="15321" width="5.109375" style="141" customWidth="1"/>
    <col min="15322" max="15322" width="18.33203125" style="141" customWidth="1"/>
    <col min="15323" max="15323" width="11.6640625" style="141" customWidth="1"/>
    <col min="15324" max="15324" width="11.77734375" style="141" customWidth="1"/>
    <col min="15325" max="15325" width="9.109375" style="141" customWidth="1"/>
    <col min="15326" max="15326" width="9.77734375" style="141" bestFit="1" customWidth="1"/>
    <col min="15327" max="15327" width="9.6640625" style="141" customWidth="1"/>
    <col min="15328" max="15329" width="12" style="141" customWidth="1"/>
    <col min="15330" max="15330" width="11.109375" style="141" customWidth="1"/>
    <col min="15331" max="15331" width="5.33203125" style="141" customWidth="1"/>
    <col min="15332" max="15332" width="9.6640625" style="141" customWidth="1"/>
    <col min="15333" max="15333" width="10.6640625" style="141" customWidth="1"/>
    <col min="15334" max="15336" width="9.6640625" style="141" customWidth="1"/>
    <col min="15337" max="15337" width="9.109375" style="141" bestFit="1" customWidth="1"/>
    <col min="15338" max="15338" width="9.77734375" style="141" bestFit="1" customWidth="1"/>
    <col min="15339" max="15339" width="9.33203125" style="141" bestFit="1" customWidth="1"/>
    <col min="15340" max="15340" width="5.33203125" style="141" customWidth="1"/>
    <col min="15341" max="15341" width="10" style="141" customWidth="1"/>
    <col min="15342" max="15573" width="9.33203125" style="141"/>
    <col min="15574" max="15574" width="2.44140625" style="141" customWidth="1"/>
    <col min="15575" max="15575" width="16.6640625" style="141" customWidth="1"/>
    <col min="15576" max="15576" width="23.77734375" style="141" customWidth="1"/>
    <col min="15577" max="15577" width="5.109375" style="141" customWidth="1"/>
    <col min="15578" max="15578" width="18.33203125" style="141" customWidth="1"/>
    <col min="15579" max="15579" width="11.6640625" style="141" customWidth="1"/>
    <col min="15580" max="15580" width="11.77734375" style="141" customWidth="1"/>
    <col min="15581" max="15581" width="9.109375" style="141" customWidth="1"/>
    <col min="15582" max="15582" width="9.77734375" style="141" bestFit="1" customWidth="1"/>
    <col min="15583" max="15583" width="9.6640625" style="141" customWidth="1"/>
    <col min="15584" max="15585" width="12" style="141" customWidth="1"/>
    <col min="15586" max="15586" width="11.109375" style="141" customWidth="1"/>
    <col min="15587" max="15587" width="5.33203125" style="141" customWidth="1"/>
    <col min="15588" max="15588" width="9.6640625" style="141" customWidth="1"/>
    <col min="15589" max="15589" width="10.6640625" style="141" customWidth="1"/>
    <col min="15590" max="15592" width="9.6640625" style="141" customWidth="1"/>
    <col min="15593" max="15593" width="9.109375" style="141" bestFit="1" customWidth="1"/>
    <col min="15594" max="15594" width="9.77734375" style="141" bestFit="1" customWidth="1"/>
    <col min="15595" max="15595" width="9.33203125" style="141" bestFit="1" customWidth="1"/>
    <col min="15596" max="15596" width="5.33203125" style="141" customWidth="1"/>
    <col min="15597" max="15597" width="10" style="141" customWidth="1"/>
    <col min="15598" max="15829" width="9.33203125" style="141"/>
    <col min="15830" max="15830" width="2.44140625" style="141" customWidth="1"/>
    <col min="15831" max="15831" width="16.6640625" style="141" customWidth="1"/>
    <col min="15832" max="15832" width="23.77734375" style="141" customWidth="1"/>
    <col min="15833" max="15833" width="5.109375" style="141" customWidth="1"/>
    <col min="15834" max="15834" width="18.33203125" style="141" customWidth="1"/>
    <col min="15835" max="15835" width="11.6640625" style="141" customWidth="1"/>
    <col min="15836" max="15836" width="11.77734375" style="141" customWidth="1"/>
    <col min="15837" max="15837" width="9.109375" style="141" customWidth="1"/>
    <col min="15838" max="15838" width="9.77734375" style="141" bestFit="1" customWidth="1"/>
    <col min="15839" max="15839" width="9.6640625" style="141" customWidth="1"/>
    <col min="15840" max="15841" width="12" style="141" customWidth="1"/>
    <col min="15842" max="15842" width="11.109375" style="141" customWidth="1"/>
    <col min="15843" max="15843" width="5.33203125" style="141" customWidth="1"/>
    <col min="15844" max="15844" width="9.6640625" style="141" customWidth="1"/>
    <col min="15845" max="15845" width="10.6640625" style="141" customWidth="1"/>
    <col min="15846" max="15848" width="9.6640625" style="141" customWidth="1"/>
    <col min="15849" max="15849" width="9.109375" style="141" bestFit="1" customWidth="1"/>
    <col min="15850" max="15850" width="9.77734375" style="141" bestFit="1" customWidth="1"/>
    <col min="15851" max="15851" width="9.33203125" style="141" bestFit="1" customWidth="1"/>
    <col min="15852" max="15852" width="5.33203125" style="141" customWidth="1"/>
    <col min="15853" max="15853" width="10" style="141" customWidth="1"/>
    <col min="15854" max="16085" width="9.33203125" style="141"/>
    <col min="16086" max="16086" width="2.44140625" style="141" customWidth="1"/>
    <col min="16087" max="16087" width="16.6640625" style="141" customWidth="1"/>
    <col min="16088" max="16088" width="23.77734375" style="141" customWidth="1"/>
    <col min="16089" max="16089" width="5.109375" style="141" customWidth="1"/>
    <col min="16090" max="16090" width="18.33203125" style="141" customWidth="1"/>
    <col min="16091" max="16091" width="11.6640625" style="141" customWidth="1"/>
    <col min="16092" max="16092" width="11.77734375" style="141" customWidth="1"/>
    <col min="16093" max="16093" width="9.109375" style="141" customWidth="1"/>
    <col min="16094" max="16094" width="9.77734375" style="141" bestFit="1" customWidth="1"/>
    <col min="16095" max="16095" width="9.6640625" style="141" customWidth="1"/>
    <col min="16096" max="16097" width="12" style="141" customWidth="1"/>
    <col min="16098" max="16098" width="11.109375" style="141" customWidth="1"/>
    <col min="16099" max="16099" width="5.33203125" style="141" customWidth="1"/>
    <col min="16100" max="16100" width="9.6640625" style="141" customWidth="1"/>
    <col min="16101" max="16101" width="10.6640625" style="141" customWidth="1"/>
    <col min="16102" max="16104" width="9.6640625" style="141" customWidth="1"/>
    <col min="16105" max="16105" width="9.109375" style="141" bestFit="1" customWidth="1"/>
    <col min="16106" max="16106" width="9.77734375" style="141" bestFit="1" customWidth="1"/>
    <col min="16107" max="16107" width="9.33203125" style="141" bestFit="1" customWidth="1"/>
    <col min="16108" max="16108" width="5.33203125" style="141" customWidth="1"/>
    <col min="16109" max="16109" width="10" style="141" customWidth="1"/>
    <col min="16110" max="16378" width="9.33203125" style="141"/>
    <col min="16379" max="16384" width="9.33203125" style="141" customWidth="1"/>
  </cols>
  <sheetData>
    <row r="1" spans="1:32" s="253" customFormat="1" ht="18.600000000000001" thickBot="1">
      <c r="A1" s="1828" t="s">
        <v>998</v>
      </c>
      <c r="B1" s="1828"/>
    </row>
    <row r="2" spans="1:32" ht="17.399999999999999">
      <c r="A2" s="1913" t="s">
        <v>1196</v>
      </c>
      <c r="B2" s="1817" t="s">
        <v>361</v>
      </c>
      <c r="C2" s="1900">
        <v>2021</v>
      </c>
      <c r="D2" s="1901"/>
      <c r="E2" s="1901"/>
      <c r="F2" s="1901"/>
      <c r="G2" s="1901"/>
      <c r="H2" s="1902"/>
      <c r="I2" s="1901">
        <v>2022</v>
      </c>
      <c r="J2" s="1901"/>
      <c r="K2" s="1901"/>
      <c r="L2" s="1901"/>
      <c r="M2" s="1901"/>
      <c r="N2" s="1901"/>
      <c r="O2" s="1900">
        <v>2023</v>
      </c>
      <c r="P2" s="1901"/>
      <c r="Q2" s="1901"/>
      <c r="R2" s="1901"/>
      <c r="S2" s="1901"/>
      <c r="T2" s="1902"/>
      <c r="U2" s="1900" t="s">
        <v>1195</v>
      </c>
      <c r="V2" s="1901"/>
      <c r="W2" s="1901"/>
      <c r="X2" s="1901"/>
      <c r="Y2" s="1901"/>
      <c r="Z2" s="1902"/>
      <c r="AA2" s="1900" t="s">
        <v>1194</v>
      </c>
      <c r="AB2" s="1901"/>
      <c r="AC2" s="1901"/>
      <c r="AD2" s="1901"/>
      <c r="AE2" s="1901"/>
      <c r="AF2" s="1902"/>
    </row>
    <row r="3" spans="1:32" s="266" customFormat="1" ht="14.4" customHeight="1">
      <c r="A3" s="1914"/>
      <c r="B3" s="1818"/>
      <c r="C3" s="1903" t="s">
        <v>746</v>
      </c>
      <c r="D3" s="1905" t="s">
        <v>747</v>
      </c>
      <c r="E3" s="1906"/>
      <c r="F3" s="1906"/>
      <c r="G3" s="1907"/>
      <c r="H3" s="1908" t="s">
        <v>751</v>
      </c>
      <c r="I3" s="1903" t="s">
        <v>746</v>
      </c>
      <c r="J3" s="1905" t="s">
        <v>747</v>
      </c>
      <c r="K3" s="1906"/>
      <c r="L3" s="1906"/>
      <c r="M3" s="1907"/>
      <c r="N3" s="1908" t="s">
        <v>751</v>
      </c>
      <c r="O3" s="1903" t="s">
        <v>746</v>
      </c>
      <c r="P3" s="1905" t="s">
        <v>747</v>
      </c>
      <c r="Q3" s="1906"/>
      <c r="R3" s="1906"/>
      <c r="S3" s="1907"/>
      <c r="T3" s="1908" t="s">
        <v>751</v>
      </c>
      <c r="U3" s="1903" t="s">
        <v>746</v>
      </c>
      <c r="V3" s="1905" t="s">
        <v>747</v>
      </c>
      <c r="W3" s="1906"/>
      <c r="X3" s="1906"/>
      <c r="Y3" s="1907"/>
      <c r="Z3" s="1908" t="s">
        <v>751</v>
      </c>
      <c r="AA3" s="1903" t="s">
        <v>746</v>
      </c>
      <c r="AB3" s="1905" t="s">
        <v>747</v>
      </c>
      <c r="AC3" s="1906"/>
      <c r="AD3" s="1906"/>
      <c r="AE3" s="1907"/>
      <c r="AF3" s="1908" t="s">
        <v>751</v>
      </c>
    </row>
    <row r="4" spans="1:32" s="266" customFormat="1" ht="14.4" customHeight="1">
      <c r="A4" s="1914"/>
      <c r="B4" s="1818"/>
      <c r="C4" s="1903"/>
      <c r="D4" s="1899" t="s">
        <v>752</v>
      </c>
      <c r="E4" s="1899" t="s">
        <v>748</v>
      </c>
      <c r="F4" s="1899" t="s">
        <v>749</v>
      </c>
      <c r="G4" s="1897" t="s">
        <v>750</v>
      </c>
      <c r="H4" s="1908"/>
      <c r="I4" s="1903"/>
      <c r="J4" s="1899" t="s">
        <v>752</v>
      </c>
      <c r="K4" s="1899" t="s">
        <v>748</v>
      </c>
      <c r="L4" s="1899" t="s">
        <v>749</v>
      </c>
      <c r="M4" s="1897" t="s">
        <v>750</v>
      </c>
      <c r="N4" s="1908"/>
      <c r="O4" s="1903"/>
      <c r="P4" s="1899" t="s">
        <v>752</v>
      </c>
      <c r="Q4" s="1899" t="s">
        <v>748</v>
      </c>
      <c r="R4" s="1899" t="s">
        <v>749</v>
      </c>
      <c r="S4" s="1897" t="s">
        <v>750</v>
      </c>
      <c r="T4" s="1908"/>
      <c r="U4" s="1903"/>
      <c r="V4" s="1899" t="s">
        <v>752</v>
      </c>
      <c r="W4" s="1899" t="s">
        <v>748</v>
      </c>
      <c r="X4" s="1899" t="s">
        <v>749</v>
      </c>
      <c r="Y4" s="1897" t="s">
        <v>750</v>
      </c>
      <c r="Z4" s="1908"/>
      <c r="AA4" s="1903"/>
      <c r="AB4" s="1899" t="s">
        <v>752</v>
      </c>
      <c r="AC4" s="1899" t="s">
        <v>748</v>
      </c>
      <c r="AD4" s="1899" t="s">
        <v>749</v>
      </c>
      <c r="AE4" s="1897" t="s">
        <v>750</v>
      </c>
      <c r="AF4" s="1908"/>
    </row>
    <row r="5" spans="1:32" s="266" customFormat="1" ht="14.4" customHeight="1">
      <c r="A5" s="1914"/>
      <c r="B5" s="1818"/>
      <c r="C5" s="1903"/>
      <c r="D5" s="1809"/>
      <c r="E5" s="1809"/>
      <c r="F5" s="1809"/>
      <c r="G5" s="1812"/>
      <c r="H5" s="1908"/>
      <c r="I5" s="1903"/>
      <c r="J5" s="1809"/>
      <c r="K5" s="1809"/>
      <c r="L5" s="1809"/>
      <c r="M5" s="1812"/>
      <c r="N5" s="1908"/>
      <c r="O5" s="1903"/>
      <c r="P5" s="1809"/>
      <c r="Q5" s="1809"/>
      <c r="R5" s="1809"/>
      <c r="S5" s="1812"/>
      <c r="T5" s="1908"/>
      <c r="U5" s="1903"/>
      <c r="V5" s="1809"/>
      <c r="W5" s="1809"/>
      <c r="X5" s="1809"/>
      <c r="Y5" s="1812"/>
      <c r="Z5" s="1908"/>
      <c r="AA5" s="1903"/>
      <c r="AB5" s="1809"/>
      <c r="AC5" s="1809"/>
      <c r="AD5" s="1809"/>
      <c r="AE5" s="1812"/>
      <c r="AF5" s="1908"/>
    </row>
    <row r="6" spans="1:32" s="266" customFormat="1" ht="14.4" customHeight="1" thickBot="1">
      <c r="A6" s="1915"/>
      <c r="B6" s="1819"/>
      <c r="C6" s="1904"/>
      <c r="D6" s="1810"/>
      <c r="E6" s="1810"/>
      <c r="F6" s="1810"/>
      <c r="G6" s="1898"/>
      <c r="H6" s="1909"/>
      <c r="I6" s="1904"/>
      <c r="J6" s="1810"/>
      <c r="K6" s="1810"/>
      <c r="L6" s="1810"/>
      <c r="M6" s="1898"/>
      <c r="N6" s="1909"/>
      <c r="O6" s="1904"/>
      <c r="P6" s="1810"/>
      <c r="Q6" s="1810"/>
      <c r="R6" s="1810"/>
      <c r="S6" s="1898"/>
      <c r="T6" s="1909"/>
      <c r="U6" s="1904"/>
      <c r="V6" s="1810"/>
      <c r="W6" s="1810"/>
      <c r="X6" s="1810"/>
      <c r="Y6" s="1898"/>
      <c r="Z6" s="1909"/>
      <c r="AA6" s="1904"/>
      <c r="AB6" s="1810"/>
      <c r="AC6" s="1810"/>
      <c r="AD6" s="1810"/>
      <c r="AE6" s="1898"/>
      <c r="AF6" s="1909"/>
    </row>
    <row r="7" spans="1:32" s="266" customFormat="1">
      <c r="A7" s="1910" t="s">
        <v>1125</v>
      </c>
      <c r="B7" s="1282" t="s">
        <v>742</v>
      </c>
      <c r="C7" s="1288">
        <v>0.5</v>
      </c>
      <c r="D7" s="427">
        <f>SUM(E7:G7)</f>
        <v>24801.86</v>
      </c>
      <c r="E7" s="1286">
        <v>24801.86</v>
      </c>
      <c r="F7" s="1286"/>
      <c r="G7" s="1286"/>
      <c r="H7" s="551" t="s">
        <v>349</v>
      </c>
      <c r="I7" s="1288">
        <v>0.5</v>
      </c>
      <c r="J7" s="427">
        <f>SUM(K7:M7)</f>
        <v>28705.5</v>
      </c>
      <c r="K7" s="1286">
        <v>28342.799999999999</v>
      </c>
      <c r="L7" s="1286"/>
      <c r="M7" s="1286">
        <v>362.7</v>
      </c>
      <c r="N7" s="551" t="s">
        <v>349</v>
      </c>
      <c r="O7" s="1288">
        <v>0.5</v>
      </c>
      <c r="P7" s="427">
        <f>SUM(Q7:S7)</f>
        <v>29100</v>
      </c>
      <c r="Q7" s="1286">
        <v>29100</v>
      </c>
      <c r="R7" s="1286"/>
      <c r="S7" s="1286"/>
      <c r="T7" s="551" t="s">
        <v>349</v>
      </c>
      <c r="U7" s="1288">
        <f>O7</f>
        <v>0.5</v>
      </c>
      <c r="V7" s="427">
        <f>SUM(W7:Y7)</f>
        <v>32010.000000000004</v>
      </c>
      <c r="W7" s="1286">
        <v>32010.000000000004</v>
      </c>
      <c r="X7" s="1286"/>
      <c r="Y7" s="1286"/>
      <c r="Z7" s="551" t="s">
        <v>349</v>
      </c>
      <c r="AA7" s="1288">
        <f t="shared" ref="AA7" si="0">U7</f>
        <v>0.5</v>
      </c>
      <c r="AB7" s="427">
        <f>SUM(AC7:AE7)</f>
        <v>35793</v>
      </c>
      <c r="AC7" s="1286">
        <f>Q7*1.2*1.025</f>
        <v>35793</v>
      </c>
      <c r="AD7" s="1286"/>
      <c r="AE7" s="1286"/>
      <c r="AF7" s="551" t="s">
        <v>349</v>
      </c>
    </row>
    <row r="8" spans="1:32" s="266" customFormat="1">
      <c r="A8" s="1911"/>
      <c r="B8" s="1283" t="s">
        <v>743</v>
      </c>
      <c r="C8" s="1289">
        <v>0.87</v>
      </c>
      <c r="D8" s="428">
        <f t="shared" ref="D8:D9" si="1">SUM(E8:G8)</f>
        <v>19701.73</v>
      </c>
      <c r="E8" s="1287">
        <v>19668.77</v>
      </c>
      <c r="F8" s="1287"/>
      <c r="G8" s="1287">
        <v>32.96</v>
      </c>
      <c r="H8" s="552">
        <f>IF(C8&gt;0,D8/C8/12,"-")</f>
        <v>1887.1388888888889</v>
      </c>
      <c r="I8" s="1289">
        <v>0.92</v>
      </c>
      <c r="J8" s="428">
        <f t="shared" ref="J8:J9" si="2">SUM(K8:M8)</f>
        <v>21503.48</v>
      </c>
      <c r="K8" s="1287">
        <v>21390.17</v>
      </c>
      <c r="L8" s="1287"/>
      <c r="M8" s="1287">
        <v>113.31</v>
      </c>
      <c r="N8" s="552">
        <f>IF(I8&gt;0,J8/I8/12,"-")</f>
        <v>1947.7789855072463</v>
      </c>
      <c r="O8" s="1289">
        <v>0.92</v>
      </c>
      <c r="P8" s="428">
        <f t="shared" ref="P8:P9" si="3">SUM(Q8:S8)</f>
        <v>22991</v>
      </c>
      <c r="Q8" s="1287">
        <v>20683</v>
      </c>
      <c r="R8" s="1287"/>
      <c r="S8" s="1287">
        <v>2308</v>
      </c>
      <c r="T8" s="552">
        <f>IF(O8&gt;0,P8/O8/12,"-")</f>
        <v>2082.518115942029</v>
      </c>
      <c r="U8" s="1289">
        <f>O8</f>
        <v>0.92</v>
      </c>
      <c r="V8" s="428">
        <f t="shared" ref="V8:V9" si="4">SUM(W8:Y8)</f>
        <v>25059.300000000003</v>
      </c>
      <c r="W8" s="1287">
        <v>22751.300000000003</v>
      </c>
      <c r="X8" s="1287"/>
      <c r="Y8" s="1287">
        <v>2308</v>
      </c>
      <c r="Z8" s="552">
        <f>IF(U8&gt;0,V8/U8/12,"-")</f>
        <v>2269.8641304347825</v>
      </c>
      <c r="AA8" s="1289">
        <f>U8+0.5</f>
        <v>1.42</v>
      </c>
      <c r="AB8" s="428">
        <f t="shared" ref="AB8:AB9" si="5">SUM(AC8:AE8)</f>
        <v>45805.789999999994</v>
      </c>
      <c r="AC8" s="1287">
        <f>Q8*1.2*1.025+(3000*12)*0.5</f>
        <v>43440.09</v>
      </c>
      <c r="AD8" s="1287"/>
      <c r="AE8" s="1287">
        <f>Y8*1.025</f>
        <v>2365.6999999999998</v>
      </c>
      <c r="AF8" s="552">
        <f>IF(AA8&gt;0,AB8/AA8/12,"-")</f>
        <v>2688.1332159624412</v>
      </c>
    </row>
    <row r="9" spans="1:32" s="266" customFormat="1">
      <c r="A9" s="1911"/>
      <c r="B9" s="1284" t="s">
        <v>744</v>
      </c>
      <c r="C9" s="1290">
        <v>3.22</v>
      </c>
      <c r="D9" s="428">
        <f t="shared" si="1"/>
        <v>56514.29</v>
      </c>
      <c r="E9" s="1287">
        <v>55937.05</v>
      </c>
      <c r="F9" s="1287"/>
      <c r="G9" s="1287">
        <v>577.24</v>
      </c>
      <c r="H9" s="552">
        <f>IF(C9&gt;0,D9/C9/12,"-")</f>
        <v>1462.585144927536</v>
      </c>
      <c r="I9" s="1290">
        <v>3.5</v>
      </c>
      <c r="J9" s="428">
        <f t="shared" si="2"/>
        <v>67480.25</v>
      </c>
      <c r="K9" s="1287">
        <v>66317.97</v>
      </c>
      <c r="L9" s="1287"/>
      <c r="M9" s="1287">
        <v>1162.28</v>
      </c>
      <c r="N9" s="552">
        <f>IF(I9&gt;0,J9/I9/12,"-")</f>
        <v>1606.672619047619</v>
      </c>
      <c r="O9" s="1290">
        <v>3.5</v>
      </c>
      <c r="P9" s="428">
        <f t="shared" si="3"/>
        <v>104060</v>
      </c>
      <c r="Q9" s="1287">
        <v>102873</v>
      </c>
      <c r="R9" s="1287"/>
      <c r="S9" s="1287">
        <v>1187</v>
      </c>
      <c r="T9" s="552">
        <f>IF(O9&gt;0,P9/O9/12,"-")</f>
        <v>2477.6190476190477</v>
      </c>
      <c r="U9" s="1290">
        <f>O9/12*11</f>
        <v>3.2083333333333335</v>
      </c>
      <c r="V9" s="428">
        <f t="shared" si="4"/>
        <v>116778.125</v>
      </c>
      <c r="W9" s="1287">
        <f>115732.125-141</f>
        <v>115591.125</v>
      </c>
      <c r="X9" s="1287"/>
      <c r="Y9" s="1287">
        <v>1187</v>
      </c>
      <c r="Z9" s="552">
        <f>IF(U9&gt;0,V9/U9/12,"-")</f>
        <v>3033.1980519480517</v>
      </c>
      <c r="AA9" s="1290">
        <f>U9+1</f>
        <v>4.2083333333333339</v>
      </c>
      <c r="AB9" s="428">
        <f t="shared" si="5"/>
        <v>156874.70624999999</v>
      </c>
      <c r="AC9" s="1287">
        <f>Q9*1.25*1.025+(2000*12)*1-148</f>
        <v>155658.03125</v>
      </c>
      <c r="AD9" s="1287"/>
      <c r="AE9" s="1287">
        <f>Y9*1.025</f>
        <v>1216.675</v>
      </c>
      <c r="AF9" s="552">
        <f>IF(AA9&gt;0,AB9/AA9/12,"-")</f>
        <v>3106.4298267326726</v>
      </c>
    </row>
    <row r="10" spans="1:32" s="266" customFormat="1" ht="15" thickBot="1">
      <c r="A10" s="1911"/>
      <c r="B10" s="1285" t="s">
        <v>745</v>
      </c>
      <c r="C10" s="547" t="s">
        <v>349</v>
      </c>
      <c r="D10" s="1291">
        <v>929</v>
      </c>
      <c r="E10" s="429" t="s">
        <v>349</v>
      </c>
      <c r="F10" s="429" t="s">
        <v>349</v>
      </c>
      <c r="G10" s="429" t="s">
        <v>349</v>
      </c>
      <c r="H10" s="553" t="s">
        <v>349</v>
      </c>
      <c r="I10" s="547" t="s">
        <v>349</v>
      </c>
      <c r="J10" s="1291">
        <v>600.5</v>
      </c>
      <c r="K10" s="429" t="s">
        <v>349</v>
      </c>
      <c r="L10" s="429" t="s">
        <v>349</v>
      </c>
      <c r="M10" s="429" t="s">
        <v>349</v>
      </c>
      <c r="N10" s="553" t="s">
        <v>349</v>
      </c>
      <c r="O10" s="547" t="s">
        <v>349</v>
      </c>
      <c r="P10" s="1291">
        <v>0</v>
      </c>
      <c r="Q10" s="429" t="s">
        <v>349</v>
      </c>
      <c r="R10" s="429" t="s">
        <v>349</v>
      </c>
      <c r="S10" s="429" t="s">
        <v>349</v>
      </c>
      <c r="T10" s="553" t="s">
        <v>349</v>
      </c>
      <c r="U10" s="547" t="s">
        <v>349</v>
      </c>
      <c r="V10" s="1291">
        <v>0</v>
      </c>
      <c r="W10" s="429" t="s">
        <v>349</v>
      </c>
      <c r="X10" s="429" t="s">
        <v>349</v>
      </c>
      <c r="Y10" s="429" t="s">
        <v>349</v>
      </c>
      <c r="Z10" s="553" t="s">
        <v>349</v>
      </c>
      <c r="AA10" s="547" t="s">
        <v>349</v>
      </c>
      <c r="AB10" s="1291">
        <v>0</v>
      </c>
      <c r="AC10" s="429" t="s">
        <v>349</v>
      </c>
      <c r="AD10" s="429" t="s">
        <v>349</v>
      </c>
      <c r="AE10" s="429" t="s">
        <v>349</v>
      </c>
      <c r="AF10" s="553" t="s">
        <v>349</v>
      </c>
    </row>
    <row r="11" spans="1:32" s="266" customFormat="1" ht="15.6" thickTop="1" thickBot="1">
      <c r="A11" s="1912"/>
      <c r="B11" s="549" t="s">
        <v>246</v>
      </c>
      <c r="C11" s="548">
        <f>SUM(C7:C10)</f>
        <v>4.59</v>
      </c>
      <c r="D11" s="434">
        <f>SUM(D7:D10)</f>
        <v>101946.88</v>
      </c>
      <c r="E11" s="435"/>
      <c r="F11" s="435"/>
      <c r="G11" s="435"/>
      <c r="H11" s="554"/>
      <c r="I11" s="550">
        <f>SUM(I7:I10)</f>
        <v>4.92</v>
      </c>
      <c r="J11" s="434">
        <f>SUM(J7:J10)</f>
        <v>118289.73</v>
      </c>
      <c r="K11" s="435"/>
      <c r="L11" s="435"/>
      <c r="M11" s="435"/>
      <c r="N11" s="546"/>
      <c r="O11" s="548">
        <f>SUM(O7:O10)</f>
        <v>4.92</v>
      </c>
      <c r="P11" s="434">
        <f>SUM(P7:P10)</f>
        <v>156151</v>
      </c>
      <c r="Q11" s="435"/>
      <c r="R11" s="435"/>
      <c r="S11" s="435"/>
      <c r="T11" s="554"/>
      <c r="U11" s="548">
        <f>SUM(U7:U10)</f>
        <v>4.6283333333333339</v>
      </c>
      <c r="V11" s="434">
        <f>SUM(V7:V10)</f>
        <v>173847.42499999999</v>
      </c>
      <c r="W11" s="435"/>
      <c r="X11" s="435"/>
      <c r="Y11" s="435"/>
      <c r="Z11" s="554"/>
      <c r="AA11" s="548">
        <f>SUM(AA7:AA10)</f>
        <v>6.1283333333333339</v>
      </c>
      <c r="AB11" s="434">
        <f>SUM(AB7:AB10)</f>
        <v>238473.49624999997</v>
      </c>
      <c r="AC11" s="435"/>
      <c r="AD11" s="435"/>
      <c r="AE11" s="435"/>
      <c r="AF11" s="554"/>
    </row>
    <row r="12" spans="1:32" s="266" customFormat="1">
      <c r="A12" s="1910" t="s">
        <v>362</v>
      </c>
      <c r="B12" s="1282" t="s">
        <v>742</v>
      </c>
      <c r="C12" s="1288">
        <v>0.5</v>
      </c>
      <c r="D12" s="427">
        <f>SUM(E12:G12)</f>
        <v>24801.86</v>
      </c>
      <c r="E12" s="1286">
        <v>24801.86</v>
      </c>
      <c r="F12" s="1286"/>
      <c r="G12" s="1286"/>
      <c r="H12" s="551" t="s">
        <v>349</v>
      </c>
      <c r="I12" s="1288">
        <v>0.5</v>
      </c>
      <c r="J12" s="427">
        <f>SUM(K12:M12)</f>
        <v>28705.5</v>
      </c>
      <c r="K12" s="1286">
        <v>28342.799999999999</v>
      </c>
      <c r="L12" s="1286"/>
      <c r="M12" s="1286">
        <v>362.7</v>
      </c>
      <c r="N12" s="551" t="s">
        <v>349</v>
      </c>
      <c r="O12" s="1288">
        <v>0.5</v>
      </c>
      <c r="P12" s="427">
        <f>SUM(Q12:S12)</f>
        <v>29100</v>
      </c>
      <c r="Q12" s="1286">
        <v>29100</v>
      </c>
      <c r="R12" s="1286"/>
      <c r="S12" s="1286"/>
      <c r="T12" s="551" t="s">
        <v>349</v>
      </c>
      <c r="U12" s="1288">
        <f>O12</f>
        <v>0.5</v>
      </c>
      <c r="V12" s="427">
        <f>SUM(W12:Y12)</f>
        <v>32010.000000000004</v>
      </c>
      <c r="W12" s="1286">
        <v>32010.000000000004</v>
      </c>
      <c r="X12" s="1286"/>
      <c r="Y12" s="1286"/>
      <c r="Z12" s="551" t="s">
        <v>349</v>
      </c>
      <c r="AA12" s="1288">
        <f t="shared" ref="AA12" si="6">U12</f>
        <v>0.5</v>
      </c>
      <c r="AB12" s="427">
        <f>SUM(AC12:AE12)</f>
        <v>35793</v>
      </c>
      <c r="AC12" s="1286">
        <f>Q12*1.2*1.025</f>
        <v>35793</v>
      </c>
      <c r="AD12" s="1286"/>
      <c r="AE12" s="1286"/>
      <c r="AF12" s="551" t="s">
        <v>349</v>
      </c>
    </row>
    <row r="13" spans="1:32" s="266" customFormat="1">
      <c r="A13" s="1911"/>
      <c r="B13" s="1283" t="s">
        <v>743</v>
      </c>
      <c r="C13" s="1289">
        <v>1.57</v>
      </c>
      <c r="D13" s="428">
        <f t="shared" ref="D13:D14" si="7">SUM(E13:G13)</f>
        <v>35520.68</v>
      </c>
      <c r="E13" s="1287">
        <v>35454.74</v>
      </c>
      <c r="F13" s="1287"/>
      <c r="G13" s="1287">
        <v>65.94</v>
      </c>
      <c r="H13" s="552">
        <f>IF(C13&gt;0,D13/C13/12,"-")</f>
        <v>1885.3864118895965</v>
      </c>
      <c r="I13" s="1289">
        <v>0.91</v>
      </c>
      <c r="J13" s="428">
        <f t="shared" ref="J13:J14" si="8">SUM(K13:M13)</f>
        <v>21247.97</v>
      </c>
      <c r="K13" s="1287">
        <v>21127.4</v>
      </c>
      <c r="L13" s="1287"/>
      <c r="M13" s="1287">
        <v>120.57</v>
      </c>
      <c r="N13" s="552">
        <f>IF(I13&gt;0,J13/I13/12,"-")</f>
        <v>1945.7847985347987</v>
      </c>
      <c r="O13" s="1289">
        <v>0.91</v>
      </c>
      <c r="P13" s="428">
        <f t="shared" ref="P13:P14" si="9">SUM(Q13:S13)</f>
        <v>22699</v>
      </c>
      <c r="Q13" s="1287">
        <v>20712</v>
      </c>
      <c r="R13" s="1287"/>
      <c r="S13" s="1287">
        <v>1987</v>
      </c>
      <c r="T13" s="552">
        <f>IF(O13&gt;0,P13/O13/12,"-")</f>
        <v>2078.6630036630036</v>
      </c>
      <c r="U13" s="1289">
        <f>O13</f>
        <v>0.91</v>
      </c>
      <c r="V13" s="428">
        <f t="shared" ref="V13:V14" si="10">SUM(W13:Y13)</f>
        <v>24770.2</v>
      </c>
      <c r="W13" s="1287">
        <v>22783.200000000001</v>
      </c>
      <c r="X13" s="1287"/>
      <c r="Y13" s="1287">
        <v>1987</v>
      </c>
      <c r="Z13" s="552">
        <f>IF(U13&gt;0,V13/U13/12,"-")</f>
        <v>2268.3333333333335</v>
      </c>
      <c r="AA13" s="1289">
        <f>U13+0.5</f>
        <v>1.4100000000000001</v>
      </c>
      <c r="AB13" s="428">
        <f t="shared" ref="AB13:AB14" si="11">SUM(AC13:AE13)</f>
        <v>45512.434999999998</v>
      </c>
      <c r="AC13" s="1287">
        <f>Q13*1.2*1.025+(3000*12)*0.5</f>
        <v>43475.759999999995</v>
      </c>
      <c r="AD13" s="1287"/>
      <c r="AE13" s="1287">
        <f>Y13*1.025</f>
        <v>2036.6749999999997</v>
      </c>
      <c r="AF13" s="552">
        <f>IF(AA13&gt;0,AB13/AA13/12,"-")</f>
        <v>2689.860224586288</v>
      </c>
    </row>
    <row r="14" spans="1:32" s="266" customFormat="1">
      <c r="A14" s="1911"/>
      <c r="B14" s="1284" t="s">
        <v>744</v>
      </c>
      <c r="C14" s="1290">
        <v>5.44</v>
      </c>
      <c r="D14" s="428">
        <f t="shared" si="7"/>
        <v>94667.89</v>
      </c>
      <c r="E14" s="1287">
        <v>94398.81</v>
      </c>
      <c r="F14" s="1287"/>
      <c r="G14" s="1287">
        <v>269.08</v>
      </c>
      <c r="H14" s="552">
        <f>IF(C14&gt;0,D14/C14/12,"-")</f>
        <v>1450.1821384803923</v>
      </c>
      <c r="I14" s="1290">
        <v>5.33</v>
      </c>
      <c r="J14" s="428">
        <f t="shared" si="8"/>
        <v>102315.58</v>
      </c>
      <c r="K14" s="1287">
        <v>101195.03</v>
      </c>
      <c r="L14" s="1287"/>
      <c r="M14" s="1287">
        <v>1120.55</v>
      </c>
      <c r="N14" s="552">
        <f>IF(I14&gt;0,J14/I14/12,"-")</f>
        <v>1599.6807379612258</v>
      </c>
      <c r="O14" s="1290">
        <v>5.33</v>
      </c>
      <c r="P14" s="428">
        <f t="shared" si="9"/>
        <v>101110</v>
      </c>
      <c r="Q14" s="1287">
        <v>100113</v>
      </c>
      <c r="R14" s="1287"/>
      <c r="S14" s="1287">
        <v>997</v>
      </c>
      <c r="T14" s="552">
        <f>IF(O14&gt;0,P14/O14/12,"-")</f>
        <v>1580.8317698561602</v>
      </c>
      <c r="U14" s="1290">
        <f>O14/12*11</f>
        <v>4.8858333333333333</v>
      </c>
      <c r="V14" s="428">
        <f t="shared" si="10"/>
        <v>113624.125</v>
      </c>
      <c r="W14" s="1287">
        <v>112627.125</v>
      </c>
      <c r="X14" s="1287"/>
      <c r="Y14" s="1287">
        <v>997</v>
      </c>
      <c r="Z14" s="552">
        <f>IF(U14&gt;0,V14/U14/12,"-")</f>
        <v>1937.9860992665872</v>
      </c>
      <c r="AA14" s="1290">
        <f>U14+1</f>
        <v>5.8858333333333333</v>
      </c>
      <c r="AB14" s="428">
        <f t="shared" si="11"/>
        <v>153291.70624999999</v>
      </c>
      <c r="AC14" s="1287">
        <f>Q14*1.25*1.025+(2000*12)*1</f>
        <v>152269.78125</v>
      </c>
      <c r="AD14" s="1287"/>
      <c r="AE14" s="1287">
        <f>Y14*1.025</f>
        <v>1021.925</v>
      </c>
      <c r="AF14" s="552">
        <f>IF(AA14&gt;0,AB14/AA14/12,"-")</f>
        <v>2170.3483824154041</v>
      </c>
    </row>
    <row r="15" spans="1:32" s="266" customFormat="1" ht="15" thickBot="1">
      <c r="A15" s="1911"/>
      <c r="B15" s="1285" t="s">
        <v>745</v>
      </c>
      <c r="C15" s="547" t="s">
        <v>349</v>
      </c>
      <c r="D15" s="1291">
        <v>929</v>
      </c>
      <c r="E15" s="429" t="s">
        <v>349</v>
      </c>
      <c r="F15" s="429" t="s">
        <v>349</v>
      </c>
      <c r="G15" s="429" t="s">
        <v>349</v>
      </c>
      <c r="H15" s="553" t="s">
        <v>349</v>
      </c>
      <c r="I15" s="547" t="s">
        <v>349</v>
      </c>
      <c r="J15" s="1291">
        <v>1119.5999999999999</v>
      </c>
      <c r="K15" s="429" t="s">
        <v>349</v>
      </c>
      <c r="L15" s="429" t="s">
        <v>349</v>
      </c>
      <c r="M15" s="429" t="s">
        <v>349</v>
      </c>
      <c r="N15" s="553" t="s">
        <v>349</v>
      </c>
      <c r="O15" s="547" t="s">
        <v>349</v>
      </c>
      <c r="P15" s="1291">
        <v>0</v>
      </c>
      <c r="Q15" s="429" t="s">
        <v>349</v>
      </c>
      <c r="R15" s="429" t="s">
        <v>349</v>
      </c>
      <c r="S15" s="429" t="s">
        <v>349</v>
      </c>
      <c r="T15" s="553" t="s">
        <v>349</v>
      </c>
      <c r="U15" s="547" t="s">
        <v>349</v>
      </c>
      <c r="V15" s="1291">
        <v>0</v>
      </c>
      <c r="W15" s="429" t="s">
        <v>349</v>
      </c>
      <c r="X15" s="429" t="s">
        <v>349</v>
      </c>
      <c r="Y15" s="429" t="s">
        <v>349</v>
      </c>
      <c r="Z15" s="553" t="s">
        <v>349</v>
      </c>
      <c r="AA15" s="547" t="s">
        <v>349</v>
      </c>
      <c r="AB15" s="1291">
        <v>0</v>
      </c>
      <c r="AC15" s="429" t="s">
        <v>349</v>
      </c>
      <c r="AD15" s="429" t="s">
        <v>349</v>
      </c>
      <c r="AE15" s="429" t="s">
        <v>349</v>
      </c>
      <c r="AF15" s="553" t="s">
        <v>349</v>
      </c>
    </row>
    <row r="16" spans="1:32" s="266" customFormat="1" ht="15.6" thickTop="1" thickBot="1">
      <c r="A16" s="1912"/>
      <c r="B16" s="549" t="s">
        <v>246</v>
      </c>
      <c r="C16" s="548">
        <f>SUM(C12:C15)</f>
        <v>7.5100000000000007</v>
      </c>
      <c r="D16" s="434">
        <f>SUM(D12:D15)</f>
        <v>155919.43</v>
      </c>
      <c r="E16" s="435"/>
      <c r="F16" s="435"/>
      <c r="G16" s="435"/>
      <c r="H16" s="554"/>
      <c r="I16" s="550">
        <f>SUM(I12:I15)</f>
        <v>6.74</v>
      </c>
      <c r="J16" s="434">
        <f>SUM(J12:J15)</f>
        <v>153388.65</v>
      </c>
      <c r="K16" s="435"/>
      <c r="L16" s="435"/>
      <c r="M16" s="435"/>
      <c r="N16" s="546"/>
      <c r="O16" s="548">
        <f>SUM(O12:O15)</f>
        <v>6.74</v>
      </c>
      <c r="P16" s="434">
        <f>SUM(P12:P15)</f>
        <v>152909</v>
      </c>
      <c r="Q16" s="435"/>
      <c r="R16" s="435"/>
      <c r="S16" s="435"/>
      <c r="T16" s="554"/>
      <c r="U16" s="548">
        <f>SUM(U12:U15)</f>
        <v>6.2958333333333334</v>
      </c>
      <c r="V16" s="434">
        <f>SUM(V12:V15)</f>
        <v>170404.32500000001</v>
      </c>
      <c r="W16" s="435"/>
      <c r="X16" s="435"/>
      <c r="Y16" s="435"/>
      <c r="Z16" s="554"/>
      <c r="AA16" s="548">
        <f>SUM(AA12:AA15)</f>
        <v>7.7958333333333334</v>
      </c>
      <c r="AB16" s="434">
        <f>SUM(AB12:AB15)</f>
        <v>234597.14124999999</v>
      </c>
      <c r="AC16" s="435"/>
      <c r="AD16" s="435"/>
      <c r="AE16" s="435"/>
      <c r="AF16" s="554"/>
    </row>
    <row r="17" spans="1:32" s="266" customFormat="1">
      <c r="A17" s="1910" t="s">
        <v>753</v>
      </c>
      <c r="B17" s="1282" t="s">
        <v>742</v>
      </c>
      <c r="C17" s="1288">
        <v>0</v>
      </c>
      <c r="D17" s="427">
        <f>SUM(E17:G17)</f>
        <v>0</v>
      </c>
      <c r="E17" s="1286"/>
      <c r="F17" s="1286"/>
      <c r="G17" s="1286"/>
      <c r="H17" s="551" t="s">
        <v>349</v>
      </c>
      <c r="I17" s="1288">
        <v>0</v>
      </c>
      <c r="J17" s="427">
        <f>SUM(K17:M17)</f>
        <v>0</v>
      </c>
      <c r="K17" s="1286"/>
      <c r="L17" s="1286"/>
      <c r="M17" s="1286"/>
      <c r="N17" s="551" t="s">
        <v>349</v>
      </c>
      <c r="O17" s="1288">
        <v>0</v>
      </c>
      <c r="P17" s="427">
        <f>SUM(Q17:S17)</f>
        <v>0</v>
      </c>
      <c r="Q17" s="1286"/>
      <c r="R17" s="1286"/>
      <c r="S17" s="1286"/>
      <c r="T17" s="551" t="s">
        <v>349</v>
      </c>
      <c r="U17" s="1288">
        <f>O17</f>
        <v>0</v>
      </c>
      <c r="V17" s="427">
        <f>SUM(W17:Y17)</f>
        <v>0</v>
      </c>
      <c r="W17" s="1286"/>
      <c r="X17" s="1286"/>
      <c r="Y17" s="1286"/>
      <c r="Z17" s="551" t="s">
        <v>349</v>
      </c>
      <c r="AA17" s="1288">
        <f>U17</f>
        <v>0</v>
      </c>
      <c r="AB17" s="427">
        <f>SUM(AC17:AE17)</f>
        <v>0</v>
      </c>
      <c r="AC17" s="1286"/>
      <c r="AD17" s="1286"/>
      <c r="AE17" s="1286"/>
      <c r="AF17" s="551" t="s">
        <v>349</v>
      </c>
    </row>
    <row r="18" spans="1:32" s="266" customFormat="1">
      <c r="A18" s="1911"/>
      <c r="B18" s="1283" t="s">
        <v>743</v>
      </c>
      <c r="C18" s="1289">
        <v>1.06</v>
      </c>
      <c r="D18" s="428">
        <f t="shared" ref="D18:D19" si="12">SUM(E18:G18)</f>
        <v>24043.41</v>
      </c>
      <c r="E18" s="1287">
        <v>23812.63</v>
      </c>
      <c r="F18" s="1287"/>
      <c r="G18" s="1287">
        <v>230.78</v>
      </c>
      <c r="H18" s="552">
        <f>IF(C18&gt;0,D18/C18/12,"-")</f>
        <v>1890.2051886792451</v>
      </c>
      <c r="I18" s="1289">
        <v>1.17</v>
      </c>
      <c r="J18" s="428">
        <f t="shared" ref="J18:J19" si="13">SUM(K18:M18)</f>
        <v>27218.92</v>
      </c>
      <c r="K18" s="1287">
        <v>27027.19</v>
      </c>
      <c r="L18" s="1287"/>
      <c r="M18" s="1287">
        <v>191.73</v>
      </c>
      <c r="N18" s="552">
        <f>IF(I18&gt;0,J18/I18/12,"-")</f>
        <v>1938.6695156695157</v>
      </c>
      <c r="O18" s="1289">
        <v>1.17</v>
      </c>
      <c r="P18" s="428">
        <f t="shared" ref="P18:P19" si="14">SUM(Q18:S18)</f>
        <v>29238</v>
      </c>
      <c r="Q18" s="1287">
        <v>27863</v>
      </c>
      <c r="R18" s="1287"/>
      <c r="S18" s="1287">
        <v>1375</v>
      </c>
      <c r="T18" s="552">
        <f>IF(O18&gt;0,P18/O18/12,"-")</f>
        <v>2082.4786324786323</v>
      </c>
      <c r="U18" s="1289">
        <f>O18</f>
        <v>1.17</v>
      </c>
      <c r="V18" s="428">
        <f t="shared" ref="V18:V19" si="15">SUM(W18:Y18)</f>
        <v>32024.300000000003</v>
      </c>
      <c r="W18" s="1287">
        <v>30649.300000000003</v>
      </c>
      <c r="X18" s="1287"/>
      <c r="Y18" s="1287">
        <v>1375</v>
      </c>
      <c r="Z18" s="552">
        <f>IF(U18&gt;0,V18/U18/12,"-")</f>
        <v>2280.933048433049</v>
      </c>
      <c r="AA18" s="1289">
        <f>U18</f>
        <v>1.17</v>
      </c>
      <c r="AB18" s="428">
        <f t="shared" ref="AB18:AB19" si="16">SUM(AC18:AE18)</f>
        <v>35680.864999999998</v>
      </c>
      <c r="AC18" s="1287">
        <f>Q18*1.2*1.025</f>
        <v>34271.49</v>
      </c>
      <c r="AD18" s="1287"/>
      <c r="AE18" s="1287">
        <f>Y18*1.025</f>
        <v>1409.3749999999998</v>
      </c>
      <c r="AF18" s="552">
        <f>IF(AA18&gt;0,AB18/AA18/12,"-")</f>
        <v>2541.372150997151</v>
      </c>
    </row>
    <row r="19" spans="1:32" s="266" customFormat="1">
      <c r="A19" s="1911"/>
      <c r="B19" s="1284" t="s">
        <v>744</v>
      </c>
      <c r="C19" s="1290">
        <v>2.34</v>
      </c>
      <c r="D19" s="428">
        <f t="shared" si="12"/>
        <v>40448.649999999994</v>
      </c>
      <c r="E19" s="1287">
        <v>40239.089999999997</v>
      </c>
      <c r="F19" s="1287"/>
      <c r="G19" s="1287">
        <v>209.56</v>
      </c>
      <c r="H19" s="552">
        <f>IF(C19&gt;0,D19/C19/12,"-")</f>
        <v>1440.4789886039887</v>
      </c>
      <c r="I19" s="1290">
        <v>3.17</v>
      </c>
      <c r="J19" s="428">
        <f t="shared" si="13"/>
        <v>60532</v>
      </c>
      <c r="K19" s="1287">
        <v>60057.31</v>
      </c>
      <c r="L19" s="1287"/>
      <c r="M19" s="1287">
        <v>474.69</v>
      </c>
      <c r="N19" s="552">
        <f>IF(I19&gt;0,J19/I19/12,"-")</f>
        <v>1591.2723449001051</v>
      </c>
      <c r="O19" s="1290">
        <v>3.17</v>
      </c>
      <c r="P19" s="428">
        <f t="shared" si="14"/>
        <v>57352</v>
      </c>
      <c r="Q19" s="1287">
        <v>54751</v>
      </c>
      <c r="R19" s="1287"/>
      <c r="S19" s="1287">
        <v>2601</v>
      </c>
      <c r="T19" s="552">
        <f>IF(O19&gt;0,P19/O19/12,"-")</f>
        <v>1507.6761303890642</v>
      </c>
      <c r="U19" s="1290">
        <f>O19/12*11</f>
        <v>2.9058333333333333</v>
      </c>
      <c r="V19" s="428">
        <f t="shared" si="15"/>
        <v>64336.875</v>
      </c>
      <c r="W19" s="1287">
        <f>61594.875+141</f>
        <v>61735.875</v>
      </c>
      <c r="X19" s="1287"/>
      <c r="Y19" s="1287">
        <v>2601</v>
      </c>
      <c r="Z19" s="552">
        <f>IF(U19&gt;0,V19/U19/12,"-")</f>
        <v>1845.0494694579868</v>
      </c>
      <c r="AA19" s="1290">
        <f>U19</f>
        <v>2.9058333333333333</v>
      </c>
      <c r="AB19" s="428">
        <f t="shared" si="16"/>
        <v>72963.743749999994</v>
      </c>
      <c r="AC19" s="1287">
        <f>Q19*1.25*1.025+148</f>
        <v>70297.71875</v>
      </c>
      <c r="AD19" s="1287"/>
      <c r="AE19" s="1287">
        <f>Y19*1.025</f>
        <v>2666.0249999999996</v>
      </c>
      <c r="AF19" s="552">
        <f>IF(AA19&gt;0,AB19/AA19/12,"-")</f>
        <v>2092.4503513048462</v>
      </c>
    </row>
    <row r="20" spans="1:32" s="266" customFormat="1" ht="15" thickBot="1">
      <c r="A20" s="1911"/>
      <c r="B20" s="1285" t="s">
        <v>745</v>
      </c>
      <c r="C20" s="547" t="s">
        <v>349</v>
      </c>
      <c r="D20" s="1291">
        <v>0</v>
      </c>
      <c r="E20" s="429" t="s">
        <v>349</v>
      </c>
      <c r="F20" s="429" t="s">
        <v>349</v>
      </c>
      <c r="G20" s="429" t="s">
        <v>349</v>
      </c>
      <c r="H20" s="553" t="s">
        <v>349</v>
      </c>
      <c r="I20" s="547" t="s">
        <v>349</v>
      </c>
      <c r="J20" s="1291">
        <v>0</v>
      </c>
      <c r="K20" s="429" t="s">
        <v>349</v>
      </c>
      <c r="L20" s="429" t="s">
        <v>349</v>
      </c>
      <c r="M20" s="429" t="s">
        <v>349</v>
      </c>
      <c r="N20" s="553" t="s">
        <v>349</v>
      </c>
      <c r="O20" s="547" t="s">
        <v>349</v>
      </c>
      <c r="P20" s="1291">
        <v>0</v>
      </c>
      <c r="Q20" s="429" t="s">
        <v>349</v>
      </c>
      <c r="R20" s="429" t="s">
        <v>349</v>
      </c>
      <c r="S20" s="429" t="s">
        <v>349</v>
      </c>
      <c r="T20" s="553" t="s">
        <v>349</v>
      </c>
      <c r="U20" s="547" t="s">
        <v>349</v>
      </c>
      <c r="V20" s="1291">
        <v>0</v>
      </c>
      <c r="W20" s="429" t="s">
        <v>349</v>
      </c>
      <c r="X20" s="429" t="s">
        <v>349</v>
      </c>
      <c r="Y20" s="429" t="s">
        <v>349</v>
      </c>
      <c r="Z20" s="553" t="s">
        <v>349</v>
      </c>
      <c r="AA20" s="547" t="s">
        <v>349</v>
      </c>
      <c r="AB20" s="1291">
        <v>0</v>
      </c>
      <c r="AC20" s="429" t="s">
        <v>349</v>
      </c>
      <c r="AD20" s="429" t="s">
        <v>349</v>
      </c>
      <c r="AE20" s="429" t="s">
        <v>349</v>
      </c>
      <c r="AF20" s="553" t="s">
        <v>349</v>
      </c>
    </row>
    <row r="21" spans="1:32" s="266" customFormat="1" ht="15.6" thickTop="1" thickBot="1">
      <c r="A21" s="1912"/>
      <c r="B21" s="549" t="s">
        <v>246</v>
      </c>
      <c r="C21" s="548">
        <f>SUM(C17:C20)</f>
        <v>3.4</v>
      </c>
      <c r="D21" s="434">
        <f>SUM(D17:D20)</f>
        <v>64492.06</v>
      </c>
      <c r="E21" s="435"/>
      <c r="F21" s="435"/>
      <c r="G21" s="435"/>
      <c r="H21" s="554"/>
      <c r="I21" s="550">
        <f>SUM(I17:I20)</f>
        <v>4.34</v>
      </c>
      <c r="J21" s="434">
        <f>SUM(J17:J20)</f>
        <v>87750.92</v>
      </c>
      <c r="K21" s="435"/>
      <c r="L21" s="435"/>
      <c r="M21" s="435"/>
      <c r="N21" s="546"/>
      <c r="O21" s="548">
        <f>SUM(O17:O20)</f>
        <v>4.34</v>
      </c>
      <c r="P21" s="434">
        <f>SUM(P17:P20)</f>
        <v>86590</v>
      </c>
      <c r="Q21" s="435"/>
      <c r="R21" s="435"/>
      <c r="S21" s="435"/>
      <c r="T21" s="554"/>
      <c r="U21" s="548">
        <f>SUM(U17:U20)</f>
        <v>4.0758333333333336</v>
      </c>
      <c r="V21" s="434">
        <f>SUM(V17:V20)</f>
        <v>96361.175000000003</v>
      </c>
      <c r="W21" s="435"/>
      <c r="X21" s="435"/>
      <c r="Y21" s="435"/>
      <c r="Z21" s="554"/>
      <c r="AA21" s="548">
        <f>SUM(AA17:AA20)</f>
        <v>4.0758333333333336</v>
      </c>
      <c r="AB21" s="434">
        <f>SUM(AB17:AB20)</f>
        <v>108644.60874999998</v>
      </c>
      <c r="AC21" s="435"/>
      <c r="AD21" s="435"/>
      <c r="AE21" s="435"/>
      <c r="AF21" s="554"/>
    </row>
    <row r="22" spans="1:32" s="266" customFormat="1">
      <c r="A22" s="422"/>
      <c r="B22" s="436" t="s">
        <v>758</v>
      </c>
      <c r="C22" s="430">
        <f>C11+C16+C21</f>
        <v>15.500000000000002</v>
      </c>
      <c r="D22" s="437">
        <f>D11+D16+D21</f>
        <v>322358.37</v>
      </c>
      <c r="E22" s="431"/>
      <c r="F22" s="431"/>
      <c r="G22" s="431"/>
      <c r="H22" s="431"/>
      <c r="I22" s="430">
        <f>I11+I16+I21</f>
        <v>16</v>
      </c>
      <c r="J22" s="437">
        <f>J11+J16+J21</f>
        <v>359429.3</v>
      </c>
      <c r="K22" s="431"/>
      <c r="L22" s="431"/>
      <c r="M22" s="431"/>
      <c r="N22" s="431"/>
      <c r="O22" s="430">
        <f>O11+O16+O21</f>
        <v>16</v>
      </c>
      <c r="P22" s="437">
        <f>P11+P16+P21</f>
        <v>395650</v>
      </c>
      <c r="Q22" s="431"/>
      <c r="R22" s="431"/>
      <c r="S22" s="431"/>
      <c r="T22" s="431"/>
      <c r="U22" s="430">
        <f>U11+U16+U21</f>
        <v>15.000000000000002</v>
      </c>
      <c r="V22" s="437">
        <f>V11+V16+V21</f>
        <v>440612.92499999999</v>
      </c>
      <c r="W22" s="431"/>
      <c r="X22" s="431"/>
      <c r="Y22" s="431"/>
      <c r="Z22" s="431"/>
      <c r="AA22" s="430">
        <f>AA11+AA16+AA21</f>
        <v>18</v>
      </c>
      <c r="AB22" s="437">
        <f>AB11+AB16+AB21</f>
        <v>581715.24624999997</v>
      </c>
      <c r="AC22" s="431"/>
      <c r="AD22" s="431"/>
      <c r="AE22" s="431"/>
      <c r="AF22" s="431"/>
    </row>
    <row r="23" spans="1:32" s="266" customFormat="1">
      <c r="A23" s="425"/>
      <c r="B23" s="436" t="s">
        <v>756</v>
      </c>
      <c r="C23" s="722">
        <f>C11+C16</f>
        <v>12.100000000000001</v>
      </c>
      <c r="D23" s="437">
        <f>D11+D16</f>
        <v>257866.31</v>
      </c>
      <c r="E23" s="431"/>
      <c r="F23" s="431"/>
      <c r="G23" s="431"/>
      <c r="H23" s="431"/>
      <c r="I23" s="722">
        <f>I11+I16</f>
        <v>11.66</v>
      </c>
      <c r="J23" s="437">
        <f>J11+J16</f>
        <v>271678.38</v>
      </c>
      <c r="K23" s="431"/>
      <c r="L23" s="431"/>
      <c r="M23" s="431"/>
      <c r="N23" s="431"/>
      <c r="O23" s="722">
        <f>O11+O16</f>
        <v>11.66</v>
      </c>
      <c r="P23" s="437">
        <f>P11+P16</f>
        <v>309060</v>
      </c>
      <c r="Q23" s="431"/>
      <c r="R23" s="431"/>
      <c r="S23" s="431"/>
      <c r="T23" s="431"/>
      <c r="U23" s="722">
        <f>U11+U16</f>
        <v>10.924166666666668</v>
      </c>
      <c r="V23" s="722">
        <f>V11+V16</f>
        <v>344251.75</v>
      </c>
      <c r="W23" s="1279"/>
      <c r="X23" s="1280"/>
      <c r="Y23" s="1073"/>
      <c r="Z23" s="431"/>
      <c r="AA23" s="722">
        <f>AA11+AA16</f>
        <v>13.924166666666668</v>
      </c>
      <c r="AB23" s="722">
        <f>AB11+AB16</f>
        <v>473070.63749999995</v>
      </c>
      <c r="AC23" s="1071">
        <f>IF(AB23&gt;0,ROUND(AB11/AB23,2),"0%")</f>
        <v>0.5</v>
      </c>
      <c r="AD23" s="1072">
        <f>IF(AB23&gt;0,ROUND(AB16/AB23,2),"0%")</f>
        <v>0.5</v>
      </c>
      <c r="AE23" s="1073">
        <f>SUM(AC23:AD23)</f>
        <v>1</v>
      </c>
      <c r="AF23" s="431"/>
    </row>
    <row r="24" spans="1:32" s="266" customFormat="1">
      <c r="A24" s="425"/>
      <c r="B24" s="436" t="s">
        <v>757</v>
      </c>
      <c r="C24" s="430">
        <f>C21</f>
        <v>3.4</v>
      </c>
      <c r="D24" s="437">
        <f>D21</f>
        <v>64492.06</v>
      </c>
      <c r="E24" s="431"/>
      <c r="F24" s="431"/>
      <c r="G24" s="431"/>
      <c r="H24" s="431"/>
      <c r="I24" s="430">
        <f>I21</f>
        <v>4.34</v>
      </c>
      <c r="J24" s="437">
        <f>J21</f>
        <v>87750.92</v>
      </c>
      <c r="K24" s="431"/>
      <c r="L24" s="431"/>
      <c r="M24" s="431"/>
      <c r="N24" s="431"/>
      <c r="O24" s="430">
        <f>O21</f>
        <v>4.34</v>
      </c>
      <c r="P24" s="437">
        <f>P21</f>
        <v>86590</v>
      </c>
      <c r="Q24" s="431"/>
      <c r="R24" s="431"/>
      <c r="S24" s="431"/>
      <c r="T24" s="431"/>
      <c r="U24" s="430">
        <f>U21</f>
        <v>4.0758333333333336</v>
      </c>
      <c r="V24" s="722">
        <f>V21</f>
        <v>96361.175000000003</v>
      </c>
      <c r="W24" s="1281"/>
      <c r="X24" s="1075"/>
      <c r="Y24" s="1024"/>
      <c r="Z24" s="431"/>
      <c r="AA24" s="430">
        <f>AA21</f>
        <v>4.0758333333333336</v>
      </c>
      <c r="AB24" s="722">
        <f>AB21</f>
        <v>108644.60874999998</v>
      </c>
      <c r="AC24" s="1074" t="s">
        <v>1124</v>
      </c>
      <c r="AD24" s="1075" t="s">
        <v>1120</v>
      </c>
      <c r="AE24" s="1024" t="s">
        <v>1104</v>
      </c>
      <c r="AF24" s="431"/>
    </row>
    <row r="25" spans="1:32">
      <c r="B25" s="140"/>
      <c r="AB25" s="253"/>
    </row>
    <row r="26" spans="1:32" s="433" customFormat="1" ht="12">
      <c r="B26" s="426" t="s">
        <v>1187</v>
      </c>
      <c r="C26" s="441"/>
      <c r="D26" s="440">
        <f>'2. Kasumiaruanne'!C92</f>
        <v>322358.37</v>
      </c>
      <c r="E26" s="441"/>
      <c r="F26" s="441"/>
      <c r="G26" s="441"/>
      <c r="H26" s="441"/>
      <c r="I26" s="441"/>
      <c r="J26" s="440">
        <f>'2. Kasumiaruanne'!G92</f>
        <v>359429.3</v>
      </c>
      <c r="K26" s="441"/>
      <c r="P26" s="432">
        <f>'2. Kasumiaruanne'!K92</f>
        <v>395650</v>
      </c>
      <c r="V26" s="432">
        <f>'2. Kasumiaruanne'!O92</f>
        <v>440612.92499999999</v>
      </c>
      <c r="AB26" s="440">
        <f>'2. Kasumiaruanne'!S92</f>
        <v>581715.24624999997</v>
      </c>
    </row>
    <row r="27" spans="1:32" s="433" customFormat="1" ht="12">
      <c r="B27" s="423" t="s">
        <v>360</v>
      </c>
      <c r="C27" s="441"/>
      <c r="D27" s="440">
        <f>D22-D26</f>
        <v>0</v>
      </c>
      <c r="E27" s="441"/>
      <c r="F27" s="441"/>
      <c r="G27" s="441"/>
      <c r="H27" s="441"/>
      <c r="I27" s="441"/>
      <c r="J27" s="440">
        <f>J22-J26</f>
        <v>0</v>
      </c>
      <c r="K27" s="441"/>
      <c r="P27" s="440">
        <f>P22-P26</f>
        <v>0</v>
      </c>
      <c r="V27" s="440">
        <f>V22-V26</f>
        <v>0</v>
      </c>
      <c r="AB27" s="440">
        <f>AB22-AB26</f>
        <v>0</v>
      </c>
    </row>
    <row r="28" spans="1:32" s="433" customFormat="1" ht="12">
      <c r="C28" s="441"/>
      <c r="D28" s="442"/>
      <c r="E28" s="441"/>
      <c r="F28" s="441"/>
      <c r="G28" s="441"/>
      <c r="H28" s="441"/>
      <c r="I28" s="441"/>
      <c r="J28" s="442"/>
      <c r="K28" s="441"/>
      <c r="P28" s="442"/>
      <c r="V28" s="442"/>
      <c r="AB28" s="442"/>
    </row>
    <row r="29" spans="1:32" s="433" customFormat="1" ht="12">
      <c r="B29" s="423" t="s">
        <v>754</v>
      </c>
      <c r="C29" s="441"/>
      <c r="D29" s="443">
        <f>'2. Kasumiaruanne'!D92</f>
        <v>257866.31</v>
      </c>
      <c r="E29" s="441"/>
      <c r="F29" s="441"/>
      <c r="G29" s="441"/>
      <c r="H29" s="441"/>
      <c r="I29" s="441"/>
      <c r="J29" s="443">
        <f>'2. Kasumiaruanne'!H92</f>
        <v>271678.38</v>
      </c>
      <c r="K29" s="441"/>
      <c r="P29" s="440">
        <f>'2. Kasumiaruanne'!L92</f>
        <v>309060</v>
      </c>
      <c r="V29" s="440">
        <f>'2. Kasumiaruanne'!P92</f>
        <v>344251.75</v>
      </c>
      <c r="AB29" s="440">
        <f>'2. Kasumiaruanne'!T92</f>
        <v>473070.63749999995</v>
      </c>
    </row>
    <row r="30" spans="1:32" s="433" customFormat="1" ht="12">
      <c r="A30" s="423"/>
      <c r="B30" s="423" t="s">
        <v>360</v>
      </c>
      <c r="C30" s="441"/>
      <c r="D30" s="440">
        <f>D23-D29</f>
        <v>0</v>
      </c>
      <c r="E30" s="441"/>
      <c r="F30" s="441"/>
      <c r="G30" s="441"/>
      <c r="H30" s="441"/>
      <c r="I30" s="441"/>
      <c r="J30" s="440">
        <f>J23-J29</f>
        <v>0</v>
      </c>
      <c r="K30" s="441"/>
      <c r="P30" s="440">
        <f>P23-P29</f>
        <v>0</v>
      </c>
      <c r="V30" s="440">
        <f>V23-V29</f>
        <v>0</v>
      </c>
      <c r="AB30" s="440">
        <f>AB23-AB29</f>
        <v>0</v>
      </c>
    </row>
    <row r="31" spans="1:32" s="433" customFormat="1" ht="12">
      <c r="C31" s="441"/>
      <c r="D31" s="441"/>
      <c r="E31" s="441"/>
      <c r="F31" s="441"/>
      <c r="G31" s="441"/>
      <c r="H31" s="441"/>
      <c r="I31" s="441"/>
      <c r="J31" s="441"/>
      <c r="K31" s="441"/>
      <c r="P31" s="441"/>
      <c r="V31" s="441"/>
      <c r="AB31" s="441"/>
    </row>
    <row r="32" spans="1:32" s="433" customFormat="1" ht="12">
      <c r="B32" s="423" t="s">
        <v>755</v>
      </c>
      <c r="C32" s="441"/>
      <c r="D32" s="443">
        <f>'2. Kasumiaruanne'!F92</f>
        <v>64492.06</v>
      </c>
      <c r="E32" s="441"/>
      <c r="F32" s="441"/>
      <c r="G32" s="441"/>
      <c r="H32" s="441"/>
      <c r="I32" s="441"/>
      <c r="J32" s="443">
        <f>'2. Kasumiaruanne'!J92</f>
        <v>87750.92</v>
      </c>
      <c r="K32" s="441"/>
      <c r="P32" s="440">
        <f>'2. Kasumiaruanne'!N92</f>
        <v>86590</v>
      </c>
      <c r="V32" s="440">
        <f>'2. Kasumiaruanne'!R92</f>
        <v>96361.175000000003</v>
      </c>
      <c r="AB32" s="440">
        <f>'2. Kasumiaruanne'!V92</f>
        <v>108644.60874999998</v>
      </c>
    </row>
    <row r="33" spans="2:28" s="433" customFormat="1" ht="12">
      <c r="B33" s="426" t="s">
        <v>360</v>
      </c>
      <c r="C33" s="441"/>
      <c r="D33" s="440">
        <f>D24-D32</f>
        <v>0</v>
      </c>
      <c r="E33" s="441"/>
      <c r="F33" s="441"/>
      <c r="G33" s="441"/>
      <c r="H33" s="441"/>
      <c r="I33" s="441"/>
      <c r="J33" s="440">
        <f>J24-J32</f>
        <v>0</v>
      </c>
      <c r="K33" s="441"/>
      <c r="P33" s="440">
        <f>P24-P32</f>
        <v>0</v>
      </c>
      <c r="V33" s="440">
        <f>V24-V32</f>
        <v>0</v>
      </c>
      <c r="AB33" s="440">
        <f>AB24-AB32</f>
        <v>0</v>
      </c>
    </row>
    <row r="34" spans="2:28">
      <c r="C34" s="253"/>
      <c r="D34" s="253"/>
      <c r="E34" s="253"/>
      <c r="F34" s="253"/>
      <c r="G34" s="253"/>
      <c r="H34" s="253"/>
      <c r="I34" s="253"/>
      <c r="J34" s="253"/>
      <c r="K34" s="253"/>
      <c r="AB34" s="253"/>
    </row>
    <row r="35" spans="2:28">
      <c r="C35" s="253"/>
      <c r="D35" s="253"/>
      <c r="E35" s="253"/>
      <c r="F35" s="253"/>
      <c r="G35" s="253"/>
      <c r="H35" s="253"/>
      <c r="I35" s="253"/>
      <c r="J35" s="253"/>
      <c r="K35" s="253"/>
    </row>
  </sheetData>
  <mergeCells count="46">
    <mergeCell ref="A17:A21"/>
    <mergeCell ref="C2:H2"/>
    <mergeCell ref="C3:C6"/>
    <mergeCell ref="D3:G3"/>
    <mergeCell ref="H3:H6"/>
    <mergeCell ref="A2:A6"/>
    <mergeCell ref="B2:B6"/>
    <mergeCell ref="A7:A11"/>
    <mergeCell ref="A12:A16"/>
    <mergeCell ref="U2:Z2"/>
    <mergeCell ref="V3:Y3"/>
    <mergeCell ref="Z3:Z6"/>
    <mergeCell ref="U3:U6"/>
    <mergeCell ref="A1:B1"/>
    <mergeCell ref="O2:T2"/>
    <mergeCell ref="O3:O6"/>
    <mergeCell ref="P3:S3"/>
    <mergeCell ref="T3:T6"/>
    <mergeCell ref="I2:N2"/>
    <mergeCell ref="I3:I6"/>
    <mergeCell ref="J3:M3"/>
    <mergeCell ref="N3:N6"/>
    <mergeCell ref="V4:V6"/>
    <mergeCell ref="W4:W6"/>
    <mergeCell ref="X4:X6"/>
    <mergeCell ref="AA2:AF2"/>
    <mergeCell ref="AA3:AA6"/>
    <mergeCell ref="AB3:AE3"/>
    <mergeCell ref="AF3:AF6"/>
    <mergeCell ref="D4:D6"/>
    <mergeCell ref="E4:E6"/>
    <mergeCell ref="F4:F6"/>
    <mergeCell ref="G4:G6"/>
    <mergeCell ref="J4:J6"/>
    <mergeCell ref="K4:K6"/>
    <mergeCell ref="L4:L6"/>
    <mergeCell ref="M4:M6"/>
    <mergeCell ref="P4:P6"/>
    <mergeCell ref="Q4:Q6"/>
    <mergeCell ref="R4:R6"/>
    <mergeCell ref="S4:S6"/>
    <mergeCell ref="Y4:Y6"/>
    <mergeCell ref="AB4:AB6"/>
    <mergeCell ref="AC4:AC6"/>
    <mergeCell ref="AD4:AD6"/>
    <mergeCell ref="AE4:AE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1. OST-MÜÜK</vt:lpstr>
      <vt:lpstr>2. Kasumiaruanne</vt:lpstr>
      <vt:lpstr>3. Üldiseloomustus</vt:lpstr>
      <vt:lpstr>4. Investeeringud</vt:lpstr>
      <vt:lpstr>5. Põhivara</vt:lpstr>
      <vt:lpstr>6. Keskkonnatasud</vt:lpstr>
      <vt:lpstr>7. Elekter</vt:lpstr>
      <vt:lpstr>8. Kemikaalid</vt:lpstr>
      <vt:lpstr>9. Palgakulud</vt:lpstr>
      <vt:lpstr>10. Teenuste hinnad</vt:lpstr>
      <vt:lpstr>Hinnavahe</vt:lpstr>
      <vt:lpstr>TAOTLUS</vt:lpstr>
      <vt:lpstr>'3. Üldiseloomustus'!Print_Titles</vt:lpstr>
    </vt:vector>
  </TitlesOfParts>
  <Company>eti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kyllih</dc:creator>
  <cp:lastModifiedBy>Jaak Lepik</cp:lastModifiedBy>
  <cp:lastPrinted>2023-03-23T19:26:08Z</cp:lastPrinted>
  <dcterms:created xsi:type="dcterms:W3CDTF">2001-01-31T09:35:22Z</dcterms:created>
  <dcterms:modified xsi:type="dcterms:W3CDTF">2025-03-31T12:42:40Z</dcterms:modified>
</cp:coreProperties>
</file>